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Calculation Sheet" sheetId="1" r:id="rId1"/>
    <sheet name="Formula" sheetId="2" state="hidden" r:id="rId2"/>
    <sheet name="Graph" sheetId="3" state="hidden" r:id="rId3"/>
  </sheets>
  <definedNames>
    <definedName name="alfa">'Calculation Sheet'!$M$13</definedName>
    <definedName name="Allowable_Euler_buckling_stress">Formula!$F$11</definedName>
    <definedName name="allowable_External_Pressure">Formula!$F$3</definedName>
    <definedName name="Allowable_local_hoop">Formula!$F$8</definedName>
    <definedName name="Allowable_Shear_Stress">Formula!$F$7</definedName>
    <definedName name="Allowable_shell_buckling_stress">Formula!$F$10</definedName>
    <definedName name="Alowable_local_axial">Formula!$F$5</definedName>
    <definedName name="Applied_External_Pressure">'Calculation Sheet'!$E$26</definedName>
    <definedName name="Applied_Fa">'Calculation Sheet'!$I$28</definedName>
    <definedName name="beta">Formula!$E$16</definedName>
    <definedName name="D">Formula!$E$13</definedName>
    <definedName name="deflection">Formula!$E$12</definedName>
    <definedName name="Di">'Calculation Sheet'!$E$7</definedName>
    <definedName name="Do">Formula!$E$31</definedName>
    <definedName name="Ea">'Calculation Sheet'!$M$8</definedName>
    <definedName name="Eh">'Calculation Sheet'!$M$7</definedName>
    <definedName name="Euler_Buckling_stress">Formula!$E$11</definedName>
    <definedName name="Eulercheck">Graph!$M$3</definedName>
    <definedName name="Eulercheck2">Graph!$O$3</definedName>
    <definedName name="Fa_thermal">Formula!$E$33</definedName>
    <definedName name="famax">Formula!$F$4</definedName>
    <definedName name="Fe">Formula!$O$13</definedName>
    <definedName name="HDB">'Calculation Sheet'!$M$9</definedName>
    <definedName name="Ip">Formula!$E$23</definedName>
    <definedName name="ks">Formula!$O$24</definedName>
    <definedName name="L">'Calculation Sheet'!$I$27</definedName>
    <definedName name="Maximum_compressive_axial_stress">Formula!$E$30</definedName>
    <definedName name="Method_of_calculation_check">Formula!$O$15</definedName>
    <definedName name="Mi">Formula!$E$24</definedName>
    <definedName name="P">'Calculation Sheet'!$E$13</definedName>
    <definedName name="Pd">'Calculation Sheet'!$E$12</definedName>
    <definedName name="PipeCrossSection">Formula!$E$32</definedName>
    <definedName name="Poisson">'Calculation Sheet'!$M$11</definedName>
    <definedName name="pq">Formula!$E$14</definedName>
    <definedName name="pqf">Formula!$E$15</definedName>
    <definedName name="rr">'Calculation Sheet'!$Q$9</definedName>
    <definedName name="sadk1">Formula!$V$8</definedName>
    <definedName name="sadk2">Formula!$W$8</definedName>
    <definedName name="sadk3">Formula!$AE$8</definedName>
    <definedName name="sadk4">Formula!$R$8</definedName>
    <definedName name="sadk5">Formula!$S$8</definedName>
    <definedName name="selected_Fa">Formula!$O$18</definedName>
    <definedName name="Sh">Formula!$E$28</definedName>
    <definedName name="Shell_Buckling_stress">Formula!$E$10</definedName>
    <definedName name="Shoo_plocal_general">Formula!$E$27</definedName>
    <definedName name="Shoop">Formula!$E$17</definedName>
    <definedName name="Sqs">'Calculation Sheet'!$M$14</definedName>
    <definedName name="SUPA">'Calculation Sheet'!$I$56</definedName>
    <definedName name="SUPD">'Calculation Sheet'!$Q$56</definedName>
    <definedName name="SUPH">'Calculation Sheet'!$E$56</definedName>
    <definedName name="SUPS">'Calculation Sheet'!$M$56</definedName>
    <definedName name="t">'Calculation Sheet'!$E$8</definedName>
    <definedName name="tao">'Calculation Sheet'!$M$10</definedName>
    <definedName name="temperature">'Calculation Sheet'!$I$29</definedName>
    <definedName name="tr">'Calculation Sheet'!$E$9</definedName>
    <definedName name="widthsaddle">'Calculation Sheet'!$E$58</definedName>
    <definedName name="ρ_c">'Calculation Sheet'!$M$12</definedName>
    <definedName name="ρ_eff">Formula!$E$18</definedName>
    <definedName name="ρ_L">'Calculation Sheet'!$E$14</definedName>
    <definedName name="ρ_o">Formula!$E$19</definedName>
  </definedNames>
  <calcPr calcId="152511"/>
</workbook>
</file>

<file path=xl/calcChain.xml><?xml version="1.0" encoding="utf-8"?>
<calcChain xmlns="http://schemas.openxmlformats.org/spreadsheetml/2006/main">
  <c r="M28" i="1" l="1"/>
  <c r="O12" i="2"/>
  <c r="O11" i="2"/>
  <c r="BG6" i="3"/>
  <c r="BE6" i="3"/>
  <c r="BE7" i="3"/>
  <c r="BE8" i="3"/>
  <c r="BE9" i="3"/>
  <c r="BE5" i="3"/>
  <c r="AG7" i="2"/>
  <c r="AF7" i="2"/>
  <c r="AE7" i="2"/>
  <c r="AD7" i="2"/>
  <c r="AC7" i="2"/>
  <c r="AG6" i="2"/>
  <c r="AF6" i="2"/>
  <c r="AE6" i="2"/>
  <c r="AD6" i="2"/>
  <c r="AC6" i="2"/>
  <c r="AG5" i="2"/>
  <c r="AF5" i="2"/>
  <c r="AE5" i="2"/>
  <c r="AD5" i="2"/>
  <c r="AC5" i="2"/>
  <c r="AG4" i="2"/>
  <c r="AF4" i="2"/>
  <c r="AE4" i="2"/>
  <c r="AD4" i="2"/>
  <c r="AC4" i="2"/>
  <c r="AG3" i="2"/>
  <c r="AF3" i="2"/>
  <c r="AE3" i="2"/>
  <c r="AD3" i="2"/>
  <c r="AC3" i="2"/>
  <c r="Z7" i="2"/>
  <c r="Y7" i="2"/>
  <c r="X7" i="2"/>
  <c r="W7" i="2"/>
  <c r="V7" i="2"/>
  <c r="Z6" i="2"/>
  <c r="Y6" i="2"/>
  <c r="X6" i="2"/>
  <c r="W6" i="2"/>
  <c r="V6" i="2"/>
  <c r="Z5" i="2"/>
  <c r="Y5" i="2"/>
  <c r="X5" i="2"/>
  <c r="W5" i="2"/>
  <c r="V5" i="2"/>
  <c r="Z4" i="2"/>
  <c r="Y4" i="2"/>
  <c r="X4" i="2"/>
  <c r="W4" i="2"/>
  <c r="V4" i="2"/>
  <c r="Z3" i="2"/>
  <c r="Y3" i="2"/>
  <c r="X3" i="2"/>
  <c r="W3" i="2"/>
  <c r="V3" i="2"/>
  <c r="Q4" i="3"/>
  <c r="U4" i="3"/>
  <c r="L4" i="3"/>
  <c r="K4" i="3"/>
  <c r="M6" i="3"/>
  <c r="M7" i="3"/>
  <c r="M8" i="3"/>
  <c r="M9" i="3"/>
  <c r="M10" i="3"/>
  <c r="M11" i="3"/>
  <c r="M12" i="3"/>
  <c r="M13" i="3"/>
  <c r="M14" i="3"/>
  <c r="M15" i="3"/>
  <c r="M16" i="3"/>
  <c r="M17" i="3"/>
  <c r="M18" i="3"/>
  <c r="M19" i="3"/>
  <c r="M20" i="3"/>
  <c r="M21" i="3"/>
  <c r="M22" i="3"/>
  <c r="M23" i="3"/>
  <c r="M24" i="3"/>
  <c r="M25" i="3"/>
  <c r="M26" i="3"/>
  <c r="M5" i="3"/>
  <c r="O16" i="2"/>
  <c r="S7" i="2"/>
  <c r="Y6" i="3"/>
  <c r="Z6" i="3" s="1"/>
  <c r="X7" i="3"/>
  <c r="Y7" i="3" s="1"/>
  <c r="Z7" i="3" s="1"/>
  <c r="O6" i="3"/>
  <c r="O7" i="3" s="1"/>
  <c r="O8" i="3" s="1"/>
  <c r="O9" i="3" s="1"/>
  <c r="O10" i="3" s="1"/>
  <c r="O11" i="3" s="1"/>
  <c r="O12" i="3" s="1"/>
  <c r="O13" i="3" s="1"/>
  <c r="O14" i="3" s="1"/>
  <c r="O15" i="3" s="1"/>
  <c r="O16" i="3" s="1"/>
  <c r="O17" i="3" s="1"/>
  <c r="O18" i="3" s="1"/>
  <c r="O19" i="3" s="1"/>
  <c r="O20" i="3" s="1"/>
  <c r="O21" i="3" s="1"/>
  <c r="O22" i="3" s="1"/>
  <c r="O23" i="3" s="1"/>
  <c r="O24" i="3" s="1"/>
  <c r="O25" i="3" s="1"/>
  <c r="O26" i="3" s="1"/>
  <c r="S5" i="3"/>
  <c r="R6" i="3"/>
  <c r="S6" i="3" s="1"/>
  <c r="P6" i="3"/>
  <c r="P5" i="3"/>
  <c r="I5" i="3"/>
  <c r="J6" i="3"/>
  <c r="J7" i="3" s="1"/>
  <c r="J8" i="3" s="1"/>
  <c r="J9" i="3" s="1"/>
  <c r="J10" i="3" s="1"/>
  <c r="J11" i="3" s="1"/>
  <c r="J12" i="3" s="1"/>
  <c r="J13" i="3" s="1"/>
  <c r="J14" i="3" s="1"/>
  <c r="J15" i="3" s="1"/>
  <c r="J16" i="3" s="1"/>
  <c r="J17" i="3" s="1"/>
  <c r="J18" i="3" s="1"/>
  <c r="J19" i="3" s="1"/>
  <c r="J20" i="3" s="1"/>
  <c r="J21" i="3" s="1"/>
  <c r="J22" i="3" s="1"/>
  <c r="J23" i="3" s="1"/>
  <c r="J24" i="3" s="1"/>
  <c r="J25" i="3" s="1"/>
  <c r="J26" i="3" s="1"/>
  <c r="I26" i="3" s="1"/>
  <c r="G5" i="3"/>
  <c r="H6" i="3"/>
  <c r="G6" i="3" s="1"/>
  <c r="E26" i="3"/>
  <c r="E25" i="3"/>
  <c r="E24" i="3"/>
  <c r="E23" i="3"/>
  <c r="E22" i="3"/>
  <c r="E21" i="3"/>
  <c r="E20" i="3"/>
  <c r="E19" i="3"/>
  <c r="E18" i="3"/>
  <c r="E17" i="3"/>
  <c r="E16" i="3"/>
  <c r="E15" i="3"/>
  <c r="E14" i="3"/>
  <c r="E13" i="3"/>
  <c r="E12" i="3"/>
  <c r="E11" i="3"/>
  <c r="E10" i="3"/>
  <c r="E9" i="3"/>
  <c r="E8" i="3"/>
  <c r="E7" i="3"/>
  <c r="E6" i="3"/>
  <c r="E5" i="3"/>
  <c r="C6" i="3"/>
  <c r="D6" i="3"/>
  <c r="B7" i="3"/>
  <c r="B8" i="3" s="1"/>
  <c r="B9" i="3" s="1"/>
  <c r="B10" i="3" s="1"/>
  <c r="B11" i="3" s="1"/>
  <c r="B12" i="3" s="1"/>
  <c r="B13" i="3" s="1"/>
  <c r="B14" i="3" s="1"/>
  <c r="B15" i="3" s="1"/>
  <c r="B16" i="3" s="1"/>
  <c r="B17" i="3" s="1"/>
  <c r="B18" i="3" s="1"/>
  <c r="B19" i="3" s="1"/>
  <c r="B20" i="3" s="1"/>
  <c r="B21" i="3" s="1"/>
  <c r="B22" i="3" s="1"/>
  <c r="B23" i="3" s="1"/>
  <c r="B24" i="3" s="1"/>
  <c r="B25" i="3" s="1"/>
  <c r="B26" i="3" s="1"/>
  <c r="C26" i="3" s="1"/>
  <c r="S6" i="2"/>
  <c r="S5" i="2"/>
  <c r="S4" i="2"/>
  <c r="S3" i="2"/>
  <c r="R7" i="2"/>
  <c r="R6" i="2"/>
  <c r="R5" i="2"/>
  <c r="R4" i="2"/>
  <c r="R3" i="2"/>
  <c r="Q7" i="2"/>
  <c r="Q6" i="2"/>
  <c r="Q5" i="2"/>
  <c r="Q4" i="2"/>
  <c r="Q3" i="2"/>
  <c r="P7" i="2"/>
  <c r="P6" i="2"/>
  <c r="P5" i="2"/>
  <c r="P4" i="2"/>
  <c r="P3" i="2"/>
  <c r="O7" i="2"/>
  <c r="O6" i="2"/>
  <c r="O5" i="2"/>
  <c r="O4" i="2"/>
  <c r="O3" i="2"/>
  <c r="O23" i="2"/>
  <c r="O22" i="2"/>
  <c r="O21" i="2"/>
  <c r="E23" i="2"/>
  <c r="E31" i="2"/>
  <c r="E3" i="2"/>
  <c r="E28" i="2"/>
  <c r="M14" i="1"/>
  <c r="E25" i="2" s="1"/>
  <c r="Q60" i="1"/>
  <c r="M60" i="1"/>
  <c r="E18" i="2"/>
  <c r="E19" i="2" s="1"/>
  <c r="I22" i="3" l="1"/>
  <c r="I18" i="3"/>
  <c r="I14" i="3"/>
  <c r="I10" i="3"/>
  <c r="I6" i="3"/>
  <c r="I25" i="3"/>
  <c r="I21" i="3"/>
  <c r="I17" i="3"/>
  <c r="I13" i="3"/>
  <c r="I9" i="3"/>
  <c r="P7" i="3"/>
  <c r="I24" i="3"/>
  <c r="I20" i="3"/>
  <c r="I16" i="3"/>
  <c r="I12" i="3"/>
  <c r="I8" i="3"/>
  <c r="I23" i="3"/>
  <c r="I19" i="3"/>
  <c r="I15" i="3"/>
  <c r="I11" i="3"/>
  <c r="I7" i="3"/>
  <c r="V8" i="2"/>
  <c r="X8" i="2"/>
  <c r="Z8" i="2"/>
  <c r="W8" i="2"/>
  <c r="Y8" i="2"/>
  <c r="AC8" i="2"/>
  <c r="AE8" i="2"/>
  <c r="AG8" i="2"/>
  <c r="AD8" i="2"/>
  <c r="AF8" i="2"/>
  <c r="BJ7" i="3"/>
  <c r="BH5" i="3"/>
  <c r="BH8" i="3"/>
  <c r="BI11" i="3"/>
  <c r="BI7" i="3"/>
  <c r="BJ10" i="3"/>
  <c r="BJ6" i="3"/>
  <c r="BH10" i="3"/>
  <c r="BH6" i="3"/>
  <c r="BI9" i="3"/>
  <c r="BJ5" i="3"/>
  <c r="BJ8" i="3"/>
  <c r="BH11" i="3"/>
  <c r="BH9" i="3"/>
  <c r="BH7" i="3"/>
  <c r="BI5" i="3"/>
  <c r="BI10" i="3"/>
  <c r="BI8" i="3"/>
  <c r="BI6" i="3"/>
  <c r="BJ11" i="3"/>
  <c r="BJ9" i="3"/>
  <c r="R7" i="3"/>
  <c r="R8" i="3" s="1"/>
  <c r="R9" i="3" s="1"/>
  <c r="R10" i="3" s="1"/>
  <c r="R11" i="3" s="1"/>
  <c r="R12" i="3" s="1"/>
  <c r="R13" i="3" s="1"/>
  <c r="R14" i="3" s="1"/>
  <c r="R15" i="3" s="1"/>
  <c r="R16" i="3" s="1"/>
  <c r="R17" i="3" s="1"/>
  <c r="R18" i="3" s="1"/>
  <c r="R19" i="3" s="1"/>
  <c r="R20" i="3" s="1"/>
  <c r="R21" i="3" s="1"/>
  <c r="R22" i="3" s="1"/>
  <c r="R23" i="3" s="1"/>
  <c r="R24" i="3" s="1"/>
  <c r="R25" i="3" s="1"/>
  <c r="R26" i="3" s="1"/>
  <c r="S26" i="3" s="1"/>
  <c r="X8" i="3"/>
  <c r="X9" i="3" s="1"/>
  <c r="X10" i="3" s="1"/>
  <c r="X11" i="3" s="1"/>
  <c r="X12" i="3" s="1"/>
  <c r="X13" i="3" s="1"/>
  <c r="X14" i="3" s="1"/>
  <c r="X15" i="3" s="1"/>
  <c r="X16" i="3" s="1"/>
  <c r="X17" i="3" s="1"/>
  <c r="X18" i="3" s="1"/>
  <c r="X19" i="3" s="1"/>
  <c r="X20" i="3" s="1"/>
  <c r="X21" i="3" s="1"/>
  <c r="X22" i="3" s="1"/>
  <c r="X23" i="3" s="1"/>
  <c r="X24" i="3" s="1"/>
  <c r="X25" i="3" s="1"/>
  <c r="X26" i="3" s="1"/>
  <c r="Y26" i="3" s="1"/>
  <c r="Z26" i="3" s="1"/>
  <c r="Y18" i="3"/>
  <c r="Z18" i="3" s="1"/>
  <c r="Y14" i="3"/>
  <c r="Z14" i="3" s="1"/>
  <c r="Y10" i="3"/>
  <c r="Z10" i="3" s="1"/>
  <c r="Y24" i="3"/>
  <c r="Z24" i="3" s="1"/>
  <c r="Y19" i="3"/>
  <c r="Z19" i="3" s="1"/>
  <c r="Y15" i="3"/>
  <c r="Z15" i="3" s="1"/>
  <c r="Y11" i="3"/>
  <c r="Z11" i="3" s="1"/>
  <c r="Y25" i="3"/>
  <c r="Z25" i="3" s="1"/>
  <c r="Y21" i="3"/>
  <c r="Z21" i="3" s="1"/>
  <c r="S25" i="3"/>
  <c r="S21" i="3"/>
  <c r="S17" i="3"/>
  <c r="S13" i="3"/>
  <c r="S9" i="3"/>
  <c r="H7" i="3"/>
  <c r="S22" i="3"/>
  <c r="S18" i="3"/>
  <c r="S14" i="3"/>
  <c r="S10" i="3"/>
  <c r="D26" i="3"/>
  <c r="D24" i="3"/>
  <c r="D22" i="3"/>
  <c r="D20" i="3"/>
  <c r="D18" i="3"/>
  <c r="D16" i="3"/>
  <c r="D14" i="3"/>
  <c r="D12" i="3"/>
  <c r="D10" i="3"/>
  <c r="D8" i="3"/>
  <c r="C25" i="3"/>
  <c r="C23" i="3"/>
  <c r="C21" i="3"/>
  <c r="C19" i="3"/>
  <c r="C17" i="3"/>
  <c r="C15" i="3"/>
  <c r="C13" i="3"/>
  <c r="C11" i="3"/>
  <c r="C9" i="3"/>
  <c r="C7" i="3"/>
  <c r="D25" i="3"/>
  <c r="D23" i="3"/>
  <c r="D21" i="3"/>
  <c r="D19" i="3"/>
  <c r="D17" i="3"/>
  <c r="D15" i="3"/>
  <c r="D13" i="3"/>
  <c r="D11" i="3"/>
  <c r="D9" i="3"/>
  <c r="D7" i="3"/>
  <c r="C24" i="3"/>
  <c r="C22" i="3"/>
  <c r="C20" i="3"/>
  <c r="C18" i="3"/>
  <c r="C16" i="3"/>
  <c r="C14" i="3"/>
  <c r="C12" i="3"/>
  <c r="C10" i="3"/>
  <c r="C8" i="3"/>
  <c r="O24" i="2"/>
  <c r="Q58" i="1" s="1"/>
  <c r="Q8" i="2"/>
  <c r="S8" i="2"/>
  <c r="O8" i="2"/>
  <c r="R8" i="2"/>
  <c r="P8" i="2"/>
  <c r="O13" i="2"/>
  <c r="E24" i="2"/>
  <c r="E21" i="2" s="1"/>
  <c r="Y23" i="3" l="1"/>
  <c r="Z23" i="3" s="1"/>
  <c r="Y9" i="3"/>
  <c r="Z9" i="3" s="1"/>
  <c r="Y13" i="3"/>
  <c r="Z13" i="3" s="1"/>
  <c r="Y17" i="3"/>
  <c r="Z17" i="3" s="1"/>
  <c r="Y22" i="3"/>
  <c r="Z22" i="3" s="1"/>
  <c r="Y8" i="3"/>
  <c r="Z8" i="3" s="1"/>
  <c r="Y12" i="3"/>
  <c r="Z12" i="3" s="1"/>
  <c r="Y16" i="3"/>
  <c r="Z16" i="3" s="1"/>
  <c r="Y20" i="3"/>
  <c r="Z20" i="3" s="1"/>
  <c r="S8" i="3"/>
  <c r="S12" i="3"/>
  <c r="S16" i="3"/>
  <c r="S20" i="3"/>
  <c r="S24" i="3"/>
  <c r="S7" i="3"/>
  <c r="S11" i="3"/>
  <c r="S15" i="3"/>
  <c r="S19" i="3"/>
  <c r="S23" i="3"/>
  <c r="P8" i="3"/>
  <c r="H8" i="3"/>
  <c r="G7" i="3"/>
  <c r="E12" i="2"/>
  <c r="Q59" i="1" s="1"/>
  <c r="P9" i="3" l="1"/>
  <c r="H9" i="3"/>
  <c r="G8" i="3"/>
  <c r="F8" i="2"/>
  <c r="F9" i="2" l="1"/>
  <c r="E60" i="1"/>
  <c r="AY7" i="3"/>
  <c r="AY9" i="3"/>
  <c r="AY11" i="3"/>
  <c r="AO6" i="3"/>
  <c r="AO8" i="3"/>
  <c r="AO5" i="3"/>
  <c r="AY6" i="3"/>
  <c r="AY8" i="3"/>
  <c r="AY10" i="3"/>
  <c r="AY5" i="3"/>
  <c r="AO7" i="3"/>
  <c r="AO9" i="3"/>
  <c r="P10" i="3"/>
  <c r="H10" i="3"/>
  <c r="G9" i="3"/>
  <c r="H12" i="2"/>
  <c r="Q62" i="1" s="1"/>
  <c r="Q63" i="1"/>
  <c r="M63" i="1"/>
  <c r="I63" i="1"/>
  <c r="Q61" i="1"/>
  <c r="M61" i="1"/>
  <c r="I61" i="1"/>
  <c r="P11" i="3" l="1"/>
  <c r="H11" i="3"/>
  <c r="G10" i="3"/>
  <c r="P12" i="3" l="1"/>
  <c r="H12" i="3"/>
  <c r="G11" i="3"/>
  <c r="P13" i="3" l="1"/>
  <c r="H13" i="3"/>
  <c r="G12" i="3"/>
  <c r="P14" i="3" l="1"/>
  <c r="H14" i="3"/>
  <c r="G13" i="3"/>
  <c r="P15" i="3" l="1"/>
  <c r="H15" i="3"/>
  <c r="G14" i="3"/>
  <c r="P16" i="3" l="1"/>
  <c r="H16" i="3"/>
  <c r="G15" i="3"/>
  <c r="P17" i="3" l="1"/>
  <c r="H17" i="3"/>
  <c r="G16" i="3"/>
  <c r="P18" i="3" l="1"/>
  <c r="H18" i="3"/>
  <c r="G17" i="3"/>
  <c r="P19" i="3" l="1"/>
  <c r="H19" i="3"/>
  <c r="G18" i="3"/>
  <c r="P20" i="3" l="1"/>
  <c r="H20" i="3"/>
  <c r="G19" i="3"/>
  <c r="P21" i="3" l="1"/>
  <c r="H21" i="3"/>
  <c r="G20" i="3"/>
  <c r="P22" i="3" l="1"/>
  <c r="H22" i="3"/>
  <c r="G21" i="3"/>
  <c r="P23" i="3" l="1"/>
  <c r="H23" i="3"/>
  <c r="G22" i="3"/>
  <c r="P24" i="3" l="1"/>
  <c r="H24" i="3"/>
  <c r="G23" i="3"/>
  <c r="P26" i="3" l="1"/>
  <c r="P25" i="3"/>
  <c r="H25" i="3"/>
  <c r="G24" i="3"/>
  <c r="H26" i="3" l="1"/>
  <c r="G26" i="3" s="1"/>
  <c r="K26" i="3" s="1"/>
  <c r="G25" i="3"/>
  <c r="K5" i="3"/>
  <c r="K11" i="3"/>
  <c r="AT5" i="3"/>
  <c r="K19" i="3"/>
  <c r="AJ5" i="3"/>
  <c r="K14" i="3"/>
  <c r="K8" i="3"/>
  <c r="AT10" i="3"/>
  <c r="K22" i="3"/>
  <c r="K17" i="3"/>
  <c r="K6" i="3"/>
  <c r="AT11" i="3"/>
  <c r="K9" i="3"/>
  <c r="AJ8" i="3"/>
  <c r="K12" i="3"/>
  <c r="AT9" i="3"/>
  <c r="K20" i="3"/>
  <c r="AJ6" i="3"/>
  <c r="K15" i="3"/>
  <c r="E9" i="2"/>
  <c r="K23" i="3"/>
  <c r="K18" i="3"/>
  <c r="AJ9" i="3"/>
  <c r="K25" i="3"/>
  <c r="AT8" i="3"/>
  <c r="AJ7" i="3"/>
  <c r="K13" i="3"/>
  <c r="K10" i="3"/>
  <c r="AT6" i="3"/>
  <c r="K21" i="3"/>
  <c r="AT7" i="3"/>
  <c r="K16" i="3"/>
  <c r="K7" i="3"/>
  <c r="K24" i="3"/>
  <c r="E8" i="2"/>
  <c r="AI8" i="3"/>
  <c r="AS10" i="3"/>
  <c r="AS7" i="3"/>
  <c r="AS8" i="3"/>
  <c r="AS9" i="3"/>
  <c r="AS11" i="3"/>
  <c r="AS5" i="3"/>
  <c r="AI7" i="3"/>
  <c r="AI6" i="3"/>
  <c r="E16" i="2"/>
  <c r="AI9" i="3"/>
  <c r="AI5" i="3"/>
  <c r="E13" i="2"/>
  <c r="AV11" i="3" s="1"/>
  <c r="AS6" i="3"/>
  <c r="E32" i="2" l="1"/>
  <c r="T25" i="3" s="1"/>
  <c r="U25" i="3" s="1"/>
  <c r="F4" i="2"/>
  <c r="F11" i="2" s="1"/>
  <c r="F10" i="2"/>
  <c r="P26" i="1" s="1"/>
  <c r="AM5" i="3"/>
  <c r="AW11" i="3"/>
  <c r="AM6" i="3"/>
  <c r="F3" i="2"/>
  <c r="E28" i="1" s="1"/>
  <c r="AW9" i="3"/>
  <c r="AM7" i="3"/>
  <c r="V23" i="3"/>
  <c r="V18" i="3"/>
  <c r="V6" i="3"/>
  <c r="V24" i="3"/>
  <c r="V5" i="3"/>
  <c r="V22" i="3"/>
  <c r="P27" i="1"/>
  <c r="V16" i="3"/>
  <c r="V26" i="3"/>
  <c r="V14" i="3"/>
  <c r="V17" i="3"/>
  <c r="V13" i="3"/>
  <c r="V15" i="3"/>
  <c r="V12" i="3"/>
  <c r="V9" i="3"/>
  <c r="V11" i="3"/>
  <c r="V7" i="3"/>
  <c r="V10" i="3"/>
  <c r="V21" i="3"/>
  <c r="V8" i="3"/>
  <c r="V20" i="3"/>
  <c r="V25" i="3"/>
  <c r="V19" i="3"/>
  <c r="AX11" i="3"/>
  <c r="T21" i="3"/>
  <c r="U21" i="3" s="1"/>
  <c r="AW5" i="3"/>
  <c r="AM8" i="3"/>
  <c r="AW8" i="3"/>
  <c r="T9" i="3"/>
  <c r="U9" i="3" s="1"/>
  <c r="AW10" i="3"/>
  <c r="E20" i="2"/>
  <c r="P28" i="1"/>
  <c r="E17" i="2"/>
  <c r="AK7" i="3" s="1"/>
  <c r="T17" i="3"/>
  <c r="U17" i="3" s="1"/>
  <c r="T15" i="3"/>
  <c r="U15" i="3" s="1"/>
  <c r="T8" i="3"/>
  <c r="U8" i="3" s="1"/>
  <c r="T5" i="3"/>
  <c r="U5" i="3" s="1"/>
  <c r="E33" i="2"/>
  <c r="E5" i="2"/>
  <c r="E7" i="2"/>
  <c r="E27" i="2"/>
  <c r="F5" i="2" s="1"/>
  <c r="T26" i="3"/>
  <c r="U26" i="3" s="1"/>
  <c r="T7" i="3"/>
  <c r="U7" i="3" s="1"/>
  <c r="E14" i="2"/>
  <c r="E15" i="2" s="1"/>
  <c r="T22" i="3"/>
  <c r="U22" i="3" s="1"/>
  <c r="Q18" i="3"/>
  <c r="L8" i="3"/>
  <c r="BD9" i="3"/>
  <c r="L26" i="3"/>
  <c r="Q23" i="3"/>
  <c r="Q12" i="3"/>
  <c r="L25" i="3"/>
  <c r="L23" i="3"/>
  <c r="Q7" i="3"/>
  <c r="Q17" i="3"/>
  <c r="L16" i="3"/>
  <c r="L5" i="3"/>
  <c r="L13" i="3"/>
  <c r="Q22" i="3"/>
  <c r="Q11" i="3"/>
  <c r="L14" i="3"/>
  <c r="L12" i="3"/>
  <c r="BD7" i="3"/>
  <c r="Q16" i="3"/>
  <c r="L24" i="3"/>
  <c r="Q10" i="3"/>
  <c r="L21" i="3"/>
  <c r="Q21" i="3"/>
  <c r="Q9" i="3"/>
  <c r="L22" i="3"/>
  <c r="AL5" i="3"/>
  <c r="AN5" i="3" s="1"/>
  <c r="AL8" i="3"/>
  <c r="AV10" i="3"/>
  <c r="AL6" i="3"/>
  <c r="AV9" i="3"/>
  <c r="AX9" i="3" s="1"/>
  <c r="AV7" i="3"/>
  <c r="T18" i="3"/>
  <c r="U18" i="3" s="1"/>
  <c r="AW7" i="3"/>
  <c r="T13" i="3"/>
  <c r="U13" i="3" s="1"/>
  <c r="AM9" i="3"/>
  <c r="AW6" i="3"/>
  <c r="L20" i="3"/>
  <c r="Q25" i="3"/>
  <c r="Q15" i="3"/>
  <c r="Q5" i="3"/>
  <c r="Q8" i="3"/>
  <c r="L10" i="3"/>
  <c r="Q20" i="3"/>
  <c r="L11" i="3"/>
  <c r="BD5" i="3"/>
  <c r="BD8" i="3"/>
  <c r="Q26" i="3"/>
  <c r="Q14" i="3"/>
  <c r="L9" i="3"/>
  <c r="L7" i="3"/>
  <c r="L18" i="3"/>
  <c r="Q19" i="3"/>
  <c r="L19" i="3"/>
  <c r="L6" i="3"/>
  <c r="Q6" i="3"/>
  <c r="Q24" i="3"/>
  <c r="Q13" i="3"/>
  <c r="L17" i="3"/>
  <c r="L15" i="3"/>
  <c r="BD6" i="3"/>
  <c r="AV8" i="3"/>
  <c r="AV6" i="3"/>
  <c r="AL9" i="3"/>
  <c r="E6" i="2"/>
  <c r="AV5" i="3"/>
  <c r="AL7" i="3"/>
  <c r="AN6" i="3" l="1"/>
  <c r="AN7" i="3"/>
  <c r="T14" i="3"/>
  <c r="U14" i="3" s="1"/>
  <c r="T20" i="3"/>
  <c r="U20" i="3" s="1"/>
  <c r="T11" i="3"/>
  <c r="U11" i="3" s="1"/>
  <c r="T24" i="3"/>
  <c r="U24" i="3" s="1"/>
  <c r="T12" i="3"/>
  <c r="U12" i="3" s="1"/>
  <c r="H8" i="2"/>
  <c r="E62" i="1" s="1"/>
  <c r="H3" i="2"/>
  <c r="E29" i="1" s="1"/>
  <c r="T16" i="3"/>
  <c r="U16" i="3" s="1"/>
  <c r="T23" i="3"/>
  <c r="U23" i="3" s="1"/>
  <c r="T10" i="3"/>
  <c r="U10" i="3" s="1"/>
  <c r="T19" i="3"/>
  <c r="U19" i="3" s="1"/>
  <c r="T6" i="3"/>
  <c r="U6" i="3" s="1"/>
  <c r="AX7" i="3"/>
  <c r="I59" i="1"/>
  <c r="H5" i="2"/>
  <c r="I62" i="1" s="1"/>
  <c r="AX6" i="3"/>
  <c r="AX10" i="3"/>
  <c r="AX8" i="3"/>
  <c r="AX5" i="3"/>
  <c r="AU10" i="3"/>
  <c r="AU11" i="3"/>
  <c r="AU7" i="3"/>
  <c r="AP9" i="3"/>
  <c r="I60" i="1"/>
  <c r="AZ5" i="3"/>
  <c r="AZ8" i="3"/>
  <c r="AP8" i="3"/>
  <c r="AZ7" i="3"/>
  <c r="AZ6" i="3"/>
  <c r="AZ10" i="3"/>
  <c r="AP5" i="3"/>
  <c r="AZ11" i="3"/>
  <c r="F6" i="2"/>
  <c r="AZ9" i="3"/>
  <c r="AP7" i="3"/>
  <c r="AP6" i="3"/>
  <c r="H7" i="2"/>
  <c r="M62" i="1" s="1"/>
  <c r="M59" i="1"/>
  <c r="O17" i="2"/>
  <c r="O18" i="2" s="1"/>
  <c r="M29" i="1"/>
  <c r="AU6" i="3"/>
  <c r="F22" i="2"/>
  <c r="AK9" i="3"/>
  <c r="AK5" i="3"/>
  <c r="E26" i="2"/>
  <c r="E22" i="2"/>
  <c r="H22" i="2" s="1"/>
  <c r="AN9" i="3"/>
  <c r="AN8" i="3"/>
  <c r="E59" i="1"/>
  <c r="AU8" i="3"/>
  <c r="AU5" i="3"/>
  <c r="AK6" i="3"/>
  <c r="AK8" i="3"/>
  <c r="AU9" i="3"/>
  <c r="E4" i="2" l="1"/>
  <c r="H4" i="2" s="1"/>
  <c r="Q28" i="1" s="1"/>
  <c r="E30" i="2"/>
  <c r="E10" i="2" l="1"/>
  <c r="E11" i="2"/>
  <c r="H11" i="2" s="1"/>
  <c r="Q27" i="1" s="1"/>
  <c r="AA7" i="3" l="1"/>
  <c r="AA13" i="3"/>
  <c r="AA6" i="3"/>
  <c r="AA23" i="3"/>
  <c r="AA10" i="3"/>
  <c r="M26" i="1"/>
  <c r="AA22" i="3"/>
  <c r="AA14" i="3"/>
  <c r="AA8" i="3"/>
  <c r="AA25" i="3"/>
  <c r="AA24" i="3"/>
  <c r="AA18" i="3"/>
  <c r="AA16" i="3"/>
  <c r="AA21" i="3"/>
  <c r="AA17" i="3"/>
  <c r="AA26" i="3"/>
  <c r="AA20" i="3"/>
  <c r="AA12" i="3"/>
  <c r="AA15" i="3"/>
  <c r="AA9" i="3"/>
  <c r="AA11" i="3"/>
  <c r="AA19" i="3"/>
  <c r="H10" i="2"/>
  <c r="Q26" i="1" s="1"/>
</calcChain>
</file>

<file path=xl/sharedStrings.xml><?xml version="1.0" encoding="utf-8"?>
<sst xmlns="http://schemas.openxmlformats.org/spreadsheetml/2006/main" count="314" uniqueCount="244">
  <si>
    <t>Design Code</t>
  </si>
  <si>
    <t>ISO 14692-3</t>
  </si>
  <si>
    <t>INPUT DATA</t>
  </si>
  <si>
    <t>Pipe Geometry</t>
  </si>
  <si>
    <t>Design Factors</t>
  </si>
  <si>
    <t>Design Condition</t>
  </si>
  <si>
    <t>Calculation and Evaluation</t>
  </si>
  <si>
    <t>Result</t>
  </si>
  <si>
    <t>Circumferential Local Stress (Mpa)</t>
  </si>
  <si>
    <t>Graph</t>
  </si>
  <si>
    <t xml:space="preserve">Local hoop stress due to saddle supporting </t>
  </si>
  <si>
    <t xml:space="preserve">Local axial stress due to saddle supporting </t>
  </si>
  <si>
    <t xml:space="preserve">Local shear stress due to saddle supporting </t>
  </si>
  <si>
    <t>Deflection</t>
  </si>
  <si>
    <t>support span</t>
  </si>
  <si>
    <t>saddle angle</t>
  </si>
  <si>
    <r>
      <t>Internal Pressure (</t>
    </r>
    <r>
      <rPr>
        <b/>
        <i/>
        <sz val="10"/>
        <color theme="1"/>
        <rFont val="Arial"/>
        <family val="2"/>
      </rPr>
      <t>P</t>
    </r>
    <r>
      <rPr>
        <i/>
        <sz val="10"/>
        <color theme="1"/>
        <rFont val="Arial"/>
        <family val="2"/>
      </rPr>
      <t>, MPa)</t>
    </r>
  </si>
  <si>
    <r>
      <t>Fluid Density (</t>
    </r>
    <r>
      <rPr>
        <b/>
        <i/>
        <sz val="10"/>
        <color theme="1"/>
        <rFont val="Arial"/>
        <family val="2"/>
      </rPr>
      <t>ρ</t>
    </r>
    <r>
      <rPr>
        <b/>
        <i/>
        <sz val="9"/>
        <color theme="1"/>
        <rFont val="Arial"/>
        <family val="2"/>
      </rPr>
      <t>L</t>
    </r>
    <r>
      <rPr>
        <i/>
        <sz val="10"/>
        <color theme="1"/>
        <rFont val="Arial"/>
        <family val="2"/>
      </rPr>
      <t>, Kg/m3)</t>
    </r>
  </si>
  <si>
    <r>
      <t>Hoop Elasticity Modulus  (</t>
    </r>
    <r>
      <rPr>
        <b/>
        <i/>
        <sz val="10"/>
        <color theme="1"/>
        <rFont val="Arial"/>
        <family val="2"/>
      </rPr>
      <t>Eh</t>
    </r>
    <r>
      <rPr>
        <i/>
        <sz val="10"/>
        <color theme="1"/>
        <rFont val="Arial"/>
        <family val="2"/>
      </rPr>
      <t>, Mpa)</t>
    </r>
  </si>
  <si>
    <r>
      <t>Axial Elasticity Modulus (</t>
    </r>
    <r>
      <rPr>
        <b/>
        <i/>
        <sz val="10"/>
        <color theme="1"/>
        <rFont val="Arial"/>
        <family val="2"/>
      </rPr>
      <t>Ea</t>
    </r>
    <r>
      <rPr>
        <i/>
        <sz val="10"/>
        <color theme="1"/>
        <rFont val="Arial"/>
        <family val="2"/>
      </rPr>
      <t>, Mpa)</t>
    </r>
  </si>
  <si>
    <r>
      <t>Hydrostatic Design Basis (</t>
    </r>
    <r>
      <rPr>
        <b/>
        <i/>
        <sz val="10"/>
        <color theme="1"/>
        <rFont val="Arial"/>
        <family val="2"/>
      </rPr>
      <t>HDB</t>
    </r>
    <r>
      <rPr>
        <i/>
        <sz val="10"/>
        <color theme="1"/>
        <rFont val="Arial"/>
        <family val="2"/>
      </rPr>
      <t>, Mpa)</t>
    </r>
  </si>
  <si>
    <t>Mechanical Properties</t>
  </si>
  <si>
    <r>
      <t>Shear Modulus (</t>
    </r>
    <r>
      <rPr>
        <b/>
        <i/>
        <sz val="10"/>
        <color theme="1"/>
        <rFont val="Arial"/>
        <family val="2"/>
      </rPr>
      <t>τ</t>
    </r>
    <r>
      <rPr>
        <i/>
        <sz val="10"/>
        <color theme="1"/>
        <rFont val="Arial"/>
        <family val="2"/>
      </rPr>
      <t>, Mpa)</t>
    </r>
  </si>
  <si>
    <t>Poisson’s Ratio Axial/ hoop</t>
  </si>
  <si>
    <r>
      <t>Pipe Density (</t>
    </r>
    <r>
      <rPr>
        <b/>
        <i/>
        <sz val="10"/>
        <color theme="1"/>
        <rFont val="Arial"/>
        <family val="2"/>
      </rPr>
      <t>ρ</t>
    </r>
    <r>
      <rPr>
        <b/>
        <i/>
        <sz val="9"/>
        <color theme="1"/>
        <rFont val="Arial"/>
        <family val="2"/>
      </rPr>
      <t>c</t>
    </r>
    <r>
      <rPr>
        <i/>
        <sz val="10"/>
        <color theme="1"/>
        <rFont val="Arial"/>
        <family val="2"/>
      </rPr>
      <t>,Kg/m3)</t>
    </r>
  </si>
  <si>
    <r>
      <t>Expansion Coefficient (</t>
    </r>
    <r>
      <rPr>
        <b/>
        <i/>
        <sz val="10"/>
        <color theme="1"/>
        <rFont val="Arial"/>
        <family val="2"/>
      </rPr>
      <t>α</t>
    </r>
    <r>
      <rPr>
        <i/>
        <sz val="10"/>
        <color theme="1"/>
        <rFont val="Arial"/>
        <family val="2"/>
      </rPr>
      <t>, mm/mmC)</t>
    </r>
  </si>
  <si>
    <t>Qualified Stress (      , MPa)</t>
  </si>
  <si>
    <r>
      <t>Short-term Strength Biaxial Strength ratio (</t>
    </r>
    <r>
      <rPr>
        <b/>
        <i/>
        <sz val="10"/>
        <color theme="1"/>
        <rFont val="Arial"/>
        <family val="2"/>
      </rPr>
      <t>r</t>
    </r>
    <r>
      <rPr>
        <i/>
        <sz val="10"/>
        <color theme="1"/>
        <rFont val="Arial"/>
        <family val="2"/>
      </rPr>
      <t>)</t>
    </r>
  </si>
  <si>
    <t>External Collapse Pressure</t>
  </si>
  <si>
    <t>Euler Buckling Stress</t>
  </si>
  <si>
    <t>Safetay Factor for Vacuum Condition</t>
  </si>
  <si>
    <t>FRP Pipe Stress Calculation Sheet</t>
  </si>
  <si>
    <t>No.</t>
  </si>
  <si>
    <t>Parameter</t>
  </si>
  <si>
    <t>Unit</t>
  </si>
  <si>
    <t>output</t>
  </si>
  <si>
    <t>allowable</t>
  </si>
  <si>
    <t>result</t>
  </si>
  <si>
    <t>External collapse pressure</t>
  </si>
  <si>
    <t>Mpa</t>
  </si>
  <si>
    <t xml:space="preserve">Axial compressive load </t>
  </si>
  <si>
    <t>N</t>
  </si>
  <si>
    <t xml:space="preserve">Total local axial stress due to supporting </t>
  </si>
  <si>
    <t xml:space="preserve">Local shear stress due to supporting </t>
  </si>
  <si>
    <t>5</t>
  </si>
  <si>
    <t xml:space="preserve">Local hoop stress due to supporting </t>
  </si>
  <si>
    <t>6</t>
  </si>
  <si>
    <t>7</t>
  </si>
  <si>
    <t>Euler buckling stress</t>
  </si>
  <si>
    <t>8</t>
  </si>
  <si>
    <t>mm</t>
  </si>
  <si>
    <t>P_C=2(1/Fe) E_h (t_r/D )^3</t>
  </si>
  <si>
    <t>Fa</t>
  </si>
  <si>
    <t>σ_(a,bp)=0.125/t_r  [(2PD)+[9.81ρ_L D_i^2+(9.81ρ_L)/K_1 (L_s^2-0.5D_i^2)×〖10〗^(-6) ]</t>
  </si>
  <si>
    <t>σ_(a,bp)=0.125/t_r  [(2PD)+[9.81ρ_L D_i^2-(9.81ρ_L)/K_2 (L_s^2-0.5D_i^2)×〖10〗^(-6) ]</t>
  </si>
  <si>
    <t xml:space="preserve">τ_max=K_3 ρ_eff (9.81)[πD/(4t_r )]×L_s⁄〖10〗^6 </t>
  </si>
  <si>
    <t>σ_h=-K_4  (9.81L_s ρ_0)/(t_r (b_1+10t_r)〖10〗^6 )</t>
  </si>
  <si>
    <t>σ_h=[(9.81L_s ρ_0)/(4t_r (b_1+10t_r ) )+3/2 K_5 ((9.81L_s ρ_0)/(t_r^2 )) ](1/〖10〗^6 )</t>
  </si>
  <si>
    <t>σ_u=0.9β (E_eff t_r)/D</t>
  </si>
  <si>
    <t>σ_u=F_(a,max)/(πDt_r )×〖10〗^(-6)</t>
  </si>
  <si>
    <t>δ=(5×9.81ρ_0 L_S^4×〖10〗^3  )⁄((K_S E_a I_p))</t>
  </si>
  <si>
    <t>Formula</t>
  </si>
  <si>
    <t>9</t>
  </si>
  <si>
    <t>10</t>
  </si>
  <si>
    <t>11</t>
  </si>
  <si>
    <t>12</t>
  </si>
  <si>
    <t>13</t>
  </si>
  <si>
    <t>14</t>
  </si>
  <si>
    <t>D</t>
  </si>
  <si>
    <t>m</t>
  </si>
  <si>
    <t xml:space="preserve">Pd ≤ f2.f3.Pqf   </t>
  </si>
  <si>
    <t>F_(a,max)=(π^3 D^3 t_r)/(8L^2 ) E_a×〖10〗^6</t>
  </si>
  <si>
    <t>σ_(a,sum)≤(1-r)  σ_(h,sum)/2+f_2 A_1 A_2 A_3  r/2 σ_(qs )</t>
  </si>
  <si>
    <t xml:space="preserve">τ_max≤τ_allowable≤50/K   </t>
  </si>
  <si>
    <t>σ_(h,sum)≤f_2 f_3 σ_fs   ,   note 2</t>
  </si>
  <si>
    <t>note 4</t>
  </si>
  <si>
    <t>note 5</t>
  </si>
  <si>
    <t>Pqf</t>
  </si>
  <si>
    <t>Pq</t>
  </si>
  <si>
    <t>P_q=(σ_qs*(2t_r )/D)</t>
  </si>
  <si>
    <t>P_qf=P_q*A1A2A3</t>
  </si>
  <si>
    <t>D= (Di +2t- tr)</t>
  </si>
  <si>
    <r>
      <t>Load Factor as sec 7.10 of ISO 14692-3 (</t>
    </r>
    <r>
      <rPr>
        <b/>
        <i/>
        <sz val="10"/>
        <color theme="1"/>
        <rFont val="Arial"/>
        <family val="2"/>
      </rPr>
      <t>f</t>
    </r>
    <r>
      <rPr>
        <b/>
        <sz val="9"/>
        <color theme="1"/>
        <rFont val="Arial"/>
        <family val="2"/>
      </rPr>
      <t>3</t>
    </r>
    <r>
      <rPr>
        <i/>
        <sz val="10"/>
        <color theme="1"/>
        <rFont val="Arial"/>
        <family val="2"/>
      </rPr>
      <t>)</t>
    </r>
  </si>
  <si>
    <r>
      <t>Load Factor as sec 7.6.2.2 of ISO 14692 (</t>
    </r>
    <r>
      <rPr>
        <b/>
        <i/>
        <sz val="10"/>
        <color theme="1"/>
        <rFont val="Arial"/>
        <family val="2"/>
      </rPr>
      <t>f</t>
    </r>
    <r>
      <rPr>
        <b/>
        <sz val="9"/>
        <color theme="1"/>
        <rFont val="Arial"/>
        <family val="2"/>
      </rPr>
      <t>2</t>
    </r>
    <r>
      <rPr>
        <i/>
        <sz val="10"/>
        <color theme="1"/>
        <rFont val="Arial"/>
        <family val="2"/>
      </rPr>
      <t>)</t>
    </r>
  </si>
  <si>
    <r>
      <t>Chemical Resistance factor (</t>
    </r>
    <r>
      <rPr>
        <b/>
        <i/>
        <sz val="10"/>
        <color theme="1"/>
        <rFont val="Arial"/>
        <family val="2"/>
      </rPr>
      <t>A</t>
    </r>
    <r>
      <rPr>
        <b/>
        <sz val="9"/>
        <color theme="1"/>
        <rFont val="Arial"/>
        <family val="2"/>
      </rPr>
      <t>2</t>
    </r>
    <r>
      <rPr>
        <i/>
        <sz val="10"/>
        <color theme="1"/>
        <rFont val="Arial"/>
        <family val="2"/>
      </rPr>
      <t>)</t>
    </r>
  </si>
  <si>
    <r>
      <t>Number of Loading Cycles (</t>
    </r>
    <r>
      <rPr>
        <b/>
        <i/>
        <sz val="10"/>
        <color theme="1"/>
        <rFont val="Arial"/>
        <family val="2"/>
      </rPr>
      <t>A</t>
    </r>
    <r>
      <rPr>
        <b/>
        <sz val="9"/>
        <color theme="1"/>
        <rFont val="Arial"/>
        <family val="2"/>
      </rPr>
      <t>3</t>
    </r>
    <r>
      <rPr>
        <i/>
        <sz val="10"/>
        <color theme="1"/>
        <rFont val="Arial"/>
        <family val="2"/>
      </rPr>
      <t>)</t>
    </r>
  </si>
  <si>
    <r>
      <t>Temperature Factor (</t>
    </r>
    <r>
      <rPr>
        <b/>
        <i/>
        <sz val="10"/>
        <color theme="1"/>
        <rFont val="Arial"/>
        <family val="2"/>
      </rPr>
      <t>A</t>
    </r>
    <r>
      <rPr>
        <b/>
        <sz val="9"/>
        <color theme="1"/>
        <rFont val="Arial"/>
        <family val="2"/>
      </rPr>
      <t>1</t>
    </r>
    <r>
      <rPr>
        <sz val="9"/>
        <color theme="1"/>
        <rFont val="Arial"/>
        <family val="2"/>
      </rPr>
      <t>)</t>
    </r>
  </si>
  <si>
    <t>Length of Unsupported Pipe (m)</t>
  </si>
  <si>
    <t>BETA</t>
  </si>
  <si>
    <t>-</t>
  </si>
  <si>
    <t>β=0.1887+0.8113*(0.83/√(0.1+0.005(D_i⁄(t_r))))</t>
  </si>
  <si>
    <t xml:space="preserve">Shell buckling stress </t>
  </si>
  <si>
    <t>support span (m)</t>
  </si>
  <si>
    <t>saddle angle (deg)</t>
  </si>
  <si>
    <t>Local hoop stress (Mpa)</t>
  </si>
  <si>
    <t>Saddle angle</t>
  </si>
  <si>
    <t>K1</t>
  </si>
  <si>
    <t>K2</t>
  </si>
  <si>
    <t>K3</t>
  </si>
  <si>
    <t>K4</t>
  </si>
  <si>
    <t>K5</t>
  </si>
  <si>
    <t xml:space="preserve">                = hoop stress due to internal pressure</t>
  </si>
  <si>
    <t>σ_hp=PD/(2t_r )</t>
  </si>
  <si>
    <t>ρ_eff = combined density</t>
  </si>
  <si>
    <t>Kg/m3</t>
  </si>
  <si>
    <t>ρ_eff=ρ_L+4*(ρ_c*t)/Di</t>
  </si>
  <si>
    <t>15</t>
  </si>
  <si>
    <t>ρ_o</t>
  </si>
  <si>
    <t>ρ_o=ρ_eff*(3.14*Di^2)/4</t>
  </si>
  <si>
    <t>16</t>
  </si>
  <si>
    <r>
      <rPr>
        <sz val="11"/>
        <color theme="0"/>
        <rFont val="Calibri"/>
        <family val="2"/>
        <scheme val="minor"/>
      </rPr>
      <t>1</t>
    </r>
    <r>
      <rPr>
        <sz val="11"/>
        <color theme="1"/>
        <rFont val="Calibri"/>
        <family val="2"/>
        <scheme val="minor"/>
      </rPr>
      <t>= axial stress due to internal pressure</t>
    </r>
  </si>
  <si>
    <t>17</t>
  </si>
  <si>
    <t>18</t>
  </si>
  <si>
    <t>Ip =π/6[(D_i+2t)^4-D_i^4]</t>
  </si>
  <si>
    <t>σ_hp=PD/(4t_r )</t>
  </si>
  <si>
    <t>m4</t>
  </si>
  <si>
    <t>Ip=moment of inertia</t>
  </si>
  <si>
    <t>19</t>
  </si>
  <si>
    <t>m=bending moment at mid span</t>
  </si>
  <si>
    <t xml:space="preserve">M = 9.8 ρ0Ls2/8         </t>
  </si>
  <si>
    <t>Nm</t>
  </si>
  <si>
    <r>
      <rPr>
        <sz val="11"/>
        <color theme="0"/>
        <rFont val="Calibri"/>
        <family val="2"/>
        <scheme val="minor"/>
      </rPr>
      <t xml:space="preserve">1         </t>
    </r>
    <r>
      <rPr>
        <sz val="11"/>
        <color theme="1"/>
        <rFont val="Calibri"/>
        <family val="2"/>
        <scheme val="minor"/>
      </rPr>
      <t>= axial stress due to bending</t>
    </r>
  </si>
  <si>
    <t>σ_ab=(M_i [(D_i+2t )⁄(2]))/(I_p×〖10〗^6 )</t>
  </si>
  <si>
    <t>20</t>
  </si>
  <si>
    <r>
      <rPr>
        <sz val="11"/>
        <color theme="0"/>
        <rFont val="Calibri"/>
        <family val="2"/>
        <scheme val="minor"/>
      </rPr>
      <t>1</t>
    </r>
    <r>
      <rPr>
        <sz val="11"/>
        <color theme="1"/>
        <rFont val="Calibri"/>
        <family val="2"/>
        <scheme val="minor"/>
      </rPr>
      <t xml:space="preserve">      = allowable hoop stress</t>
    </r>
  </si>
  <si>
    <t>f_2 f_3 σ_fs</t>
  </si>
  <si>
    <t>21</t>
  </si>
  <si>
    <r>
      <rPr>
        <sz val="11"/>
        <color theme="0"/>
        <rFont val="Calibri"/>
        <family val="2"/>
        <scheme val="minor"/>
      </rPr>
      <t xml:space="preserve">1      </t>
    </r>
    <r>
      <rPr>
        <sz val="11"/>
        <color theme="1"/>
        <rFont val="Calibri"/>
        <family val="2"/>
        <scheme val="minor"/>
      </rPr>
      <t>= total axial stress</t>
    </r>
  </si>
  <si>
    <t>22</t>
  </si>
  <si>
    <t>total local and general hoop stress</t>
  </si>
  <si>
    <t>Fe</t>
  </si>
  <si>
    <t>total</t>
  </si>
  <si>
    <r>
      <t>Pipe Inner Diameter (</t>
    </r>
    <r>
      <rPr>
        <b/>
        <i/>
        <sz val="10"/>
        <color theme="1"/>
        <rFont val="Arial"/>
        <family val="2"/>
      </rPr>
      <t>D</t>
    </r>
    <r>
      <rPr>
        <b/>
        <i/>
        <sz val="9"/>
        <color theme="1"/>
        <rFont val="Arial"/>
        <family val="2"/>
      </rPr>
      <t>i</t>
    </r>
    <r>
      <rPr>
        <i/>
        <sz val="10"/>
        <color theme="1"/>
        <rFont val="Arial"/>
        <family val="2"/>
      </rPr>
      <t>, mm)</t>
    </r>
  </si>
  <si>
    <r>
      <t>Nominal Wall Thickness (</t>
    </r>
    <r>
      <rPr>
        <b/>
        <i/>
        <sz val="10"/>
        <color theme="1"/>
        <rFont val="Arial"/>
        <family val="2"/>
      </rPr>
      <t>t</t>
    </r>
    <r>
      <rPr>
        <i/>
        <sz val="10"/>
        <color theme="1"/>
        <rFont val="Arial"/>
        <family val="2"/>
      </rPr>
      <t>, mm)</t>
    </r>
  </si>
  <si>
    <r>
      <t>Average Reinforced Wall Thickness (</t>
    </r>
    <r>
      <rPr>
        <b/>
        <i/>
        <sz val="10"/>
        <color theme="1"/>
        <rFont val="Arial"/>
        <family val="2"/>
      </rPr>
      <t>t</t>
    </r>
    <r>
      <rPr>
        <b/>
        <i/>
        <sz val="8"/>
        <color theme="1"/>
        <rFont val="Arial"/>
        <family val="2"/>
      </rPr>
      <t>r</t>
    </r>
    <r>
      <rPr>
        <i/>
        <sz val="10"/>
        <color theme="1"/>
        <rFont val="Arial"/>
        <family val="2"/>
      </rPr>
      <t>,mm)</t>
    </r>
  </si>
  <si>
    <t>23</t>
  </si>
  <si>
    <t>Sh=allowable hoop stress</t>
  </si>
  <si>
    <t>Sh=0.5HDB</t>
  </si>
  <si>
    <t>24</t>
  </si>
  <si>
    <t>MAX(H10,H11)+H19</t>
  </si>
  <si>
    <t>Applied Axial Compressive Load (N)</t>
  </si>
  <si>
    <t>Applied External Pressure (Mpa)</t>
  </si>
  <si>
    <t>Pd=design pressure</t>
  </si>
  <si>
    <t>Pd</t>
  </si>
  <si>
    <r>
      <t>Design Pressure (</t>
    </r>
    <r>
      <rPr>
        <b/>
        <i/>
        <sz val="10"/>
        <color theme="1"/>
        <rFont val="Arial"/>
        <family val="2"/>
      </rPr>
      <t>Pd</t>
    </r>
    <r>
      <rPr>
        <i/>
        <sz val="10"/>
        <color theme="1"/>
        <rFont val="Arial"/>
        <family val="2"/>
      </rPr>
      <t>,MPa)</t>
    </r>
  </si>
  <si>
    <t xml:space="preserve">Euler Axial Compressive Load </t>
  </si>
  <si>
    <t>Shell Buckling Stress</t>
  </si>
  <si>
    <t>26</t>
  </si>
  <si>
    <t>Do=outside diameter</t>
  </si>
  <si>
    <t>Do=Di+2t</t>
  </si>
  <si>
    <t>Samax=Maximum compressive axial stress</t>
  </si>
  <si>
    <t>Method of Calculation</t>
  </si>
  <si>
    <t>28</t>
  </si>
  <si>
    <t>29</t>
  </si>
  <si>
    <t>Method of calculation</t>
  </si>
  <si>
    <t>Cross section=Pipe Cross Section</t>
  </si>
  <si>
    <t>Fa_thermal</t>
  </si>
  <si>
    <t>Fa_thermal=pipecrosssection*Ea*alfa*T</t>
  </si>
  <si>
    <t>Defined  Thermal Problem</t>
  </si>
  <si>
    <t>Selected Fa</t>
  </si>
  <si>
    <t>Samax=selected_Fa/(3.14*D*tr)</t>
  </si>
  <si>
    <t>25</t>
  </si>
  <si>
    <t>27</t>
  </si>
  <si>
    <t>total axial stress</t>
  </si>
  <si>
    <t>+</t>
  </si>
  <si>
    <t>Ks</t>
  </si>
  <si>
    <t>single span beam</t>
  </si>
  <si>
    <t>two span beam</t>
  </si>
  <si>
    <t>selected Ks</t>
  </si>
  <si>
    <t>Support Type Selection</t>
  </si>
  <si>
    <t>Support Type Factor</t>
  </si>
  <si>
    <t>anchored beam (at both ends)</t>
  </si>
  <si>
    <t>Fe=1.5</t>
  </si>
  <si>
    <t>Fe=3</t>
  </si>
  <si>
    <t>D/tr</t>
  </si>
  <si>
    <t>External Pressure</t>
  </si>
  <si>
    <t>L</t>
  </si>
  <si>
    <t>Applied Load</t>
  </si>
  <si>
    <t>thermal load</t>
  </si>
  <si>
    <t>beta</t>
  </si>
  <si>
    <t>k4</t>
  </si>
  <si>
    <t>k5</t>
  </si>
  <si>
    <t>k1</t>
  </si>
  <si>
    <t>k2</t>
  </si>
  <si>
    <t>k3</t>
  </si>
  <si>
    <t>Saddle constants</t>
  </si>
  <si>
    <t xml:space="preserve">Local Hoop Stress </t>
  </si>
  <si>
    <t>Local Shear Stress</t>
  </si>
  <si>
    <t>Local Axial Stress</t>
  </si>
  <si>
    <t>Axial Stress Allowable</t>
  </si>
  <si>
    <t>Hoop Stress Allowable</t>
  </si>
  <si>
    <t>Support Span</t>
  </si>
  <si>
    <t>Temperature Range</t>
  </si>
  <si>
    <t>Allowable Shell Buckling Stress</t>
  </si>
  <si>
    <t>Allowable Euler Buckling Stress</t>
  </si>
  <si>
    <t>External Compressive Pressure</t>
  </si>
  <si>
    <t xml:space="preserve">Longitudinal Compressive Load </t>
  </si>
  <si>
    <t>Applied  Load</t>
  </si>
  <si>
    <t>temperature</t>
  </si>
  <si>
    <t>Allowable Stress</t>
  </si>
  <si>
    <t>allowable Shell Buckling stress</t>
  </si>
  <si>
    <t>Hoop</t>
  </si>
  <si>
    <t>Axial</t>
  </si>
  <si>
    <t>Shear</t>
  </si>
  <si>
    <t>Allowable External Collapse Pressure (Mpa)</t>
  </si>
  <si>
    <t xml:space="preserve"> local shear stress (Mpa)</t>
  </si>
  <si>
    <t xml:space="preserve"> local axial stress (Mpa)</t>
  </si>
  <si>
    <t>Deflection (mm)</t>
  </si>
  <si>
    <t>Allowable Deflection (mm)</t>
  </si>
  <si>
    <t>Allowable (Mpa)</t>
  </si>
  <si>
    <t>width of the saddle support (mm)</t>
  </si>
  <si>
    <t>Allowable Shear Stress</t>
  </si>
  <si>
    <t>Applied Axial Compressive Load (KN)</t>
  </si>
  <si>
    <t>Single Span Beam</t>
  </si>
  <si>
    <t>Two Span Beam</t>
  </si>
  <si>
    <t>Allowable Deflection</t>
  </si>
  <si>
    <t>Anchored Beam</t>
  </si>
  <si>
    <r>
      <t xml:space="preserve">2. The formula and methods which are used in this calculation sheet are based on those mentioned in the technical papers on the </t>
    </r>
    <r>
      <rPr>
        <i/>
        <sz val="12"/>
        <color rgb="FF0000CC"/>
        <rFont val="Times New Roman"/>
        <family val="1"/>
      </rPr>
      <t>WWW.CALCSTRESS.COM</t>
    </r>
    <r>
      <rPr>
        <sz val="12"/>
        <color theme="1"/>
        <rFont val="Times New Roman"/>
        <family val="1"/>
      </rPr>
      <t xml:space="preserve"> website. User must be aware of the applied method's restrictions.</t>
    </r>
  </si>
  <si>
    <t>4. This sheet may change without any prior notice.</t>
  </si>
  <si>
    <t xml:space="preserve">5. Users are highly appreciated if they let CALCSTRESS know any problems or mistakes in the this sheet. </t>
  </si>
  <si>
    <t>Please see notes</t>
  </si>
  <si>
    <t>Not Designed for Engineering Practice</t>
  </si>
  <si>
    <t>Allowable Compressive Load (KN)</t>
  </si>
  <si>
    <t>Axial Compressive Stress (Mpa)</t>
  </si>
  <si>
    <t>Axial Compressive Stress</t>
  </si>
  <si>
    <t>1. This data calculation sheet is protected by intellectual property law including copyright. You as a user are not allowed to copy, republish and distribute this calculation sheet without permission.</t>
  </si>
  <si>
    <r>
      <t>3. The owners of CALCSTRESS.COM cannot guarantee the completeness and accuracy of any information including formula and methods applied and used in this datasheet. Moreover some sheets and cells are unlocked and the formula can change easily. It has been designed for training only. It may not be complete enough for a professional service. So,</t>
    </r>
    <r>
      <rPr>
        <b/>
        <i/>
        <sz val="12"/>
        <color rgb="FFFF0000"/>
        <rFont val="Times New Roman"/>
        <family val="1"/>
      </rPr>
      <t xml:space="preserve"> it must not be used for any professional services. CALCSTRESS IS NOT RESPONSIBLE FOR ANY DAMAGES, OMISSIONS AND ERRORS ARISING FROM USING THIS CALCULATION SHEET. This sheet content may change without any prior notice.</t>
    </r>
  </si>
  <si>
    <t>6. The input values for this sheet are not checked. User’s knowledge about the proper valid range of inputs and the methods limitations is important.</t>
  </si>
  <si>
    <t>Short Term</t>
  </si>
  <si>
    <t>Long Term</t>
  </si>
  <si>
    <t>1-External Compressive Pressure VS (D/tr)</t>
  </si>
  <si>
    <t>2-Longitudinal Compressive Load vs Pipe Span (Size)</t>
  </si>
  <si>
    <t>3-Euler Buckling Stress vs Pipe Span (Temperature)</t>
  </si>
  <si>
    <t>4-Shell Buckling Stress vs (D/tr)</t>
  </si>
  <si>
    <t>5-Local Hoop (Axial) Stress vs Saddle Angle</t>
  </si>
  <si>
    <t>6-Local Hoop (Axial) Stress vs Pipe Span</t>
  </si>
  <si>
    <t>7-Local Shear Stress vs Saddle Angle</t>
  </si>
  <si>
    <t>8-Deflection vs Pipe Span</t>
  </si>
  <si>
    <t>Pipe Cross section=(3.14)*(D*tr)</t>
  </si>
  <si>
    <t>mm2</t>
  </si>
  <si>
    <t>Thermal Axial Compressive Load (KN)</t>
  </si>
  <si>
    <t xml:space="preserve">   Issue Date: JULY-18-2015</t>
  </si>
  <si>
    <r>
      <t>Long-term Hoop Strength at 2:1 (</t>
    </r>
    <r>
      <rPr>
        <b/>
        <i/>
        <sz val="10"/>
        <color theme="1"/>
        <rFont val="Arial"/>
        <family val="2"/>
      </rPr>
      <t>σ</t>
    </r>
    <r>
      <rPr>
        <b/>
        <sz val="9"/>
        <color theme="1"/>
        <rFont val="Arial"/>
        <family val="2"/>
      </rPr>
      <t>hl</t>
    </r>
    <r>
      <rPr>
        <i/>
        <sz val="10"/>
        <color theme="1"/>
        <rFont val="Arial"/>
        <family val="2"/>
      </rPr>
      <t>(2,1))(Mpa)</t>
    </r>
  </si>
  <si>
    <r>
      <t>Long-term Axial Strength at 0:1(</t>
    </r>
    <r>
      <rPr>
        <b/>
        <i/>
        <sz val="10"/>
        <color theme="1"/>
        <rFont val="Arial"/>
        <family val="2"/>
      </rPr>
      <t>σ al</t>
    </r>
    <r>
      <rPr>
        <i/>
        <sz val="10"/>
        <color theme="1"/>
        <rFont val="Arial"/>
        <family val="2"/>
      </rPr>
      <t>(0,1))(Mpa)</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</si>
</sst>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0"/>
    <numFmt numFmtId="165" formatCode="0.000"/>
    <numFmt numFmtId="166" formatCode="0.000E+00"/>
    <numFmt numFmtId="167" formatCode="0.0000"/>
    <numFmt numFmtId="168" formatCode="0.000000E+00"/>
    <numFmt numFmtId="169" formatCode="0.0"/>
  </numFmts>
  <fonts count="29" x14ac:knownFonts="1">
    <font>
      <sz val="11"/>
      <color theme="1"/>
      <name val="Calibri"/>
      <family val="2"/>
      <scheme val="minor"/>
    </font>
    <font>
      <b/>
      <i/>
      <sz val="10"/>
      <color rgb="FF0070C0"/>
      <name val="Arial"/>
      <family val="2"/>
    </font>
    <font>
      <i/>
      <sz val="10"/>
      <color theme="1"/>
      <name val="Arial"/>
      <family val="2"/>
    </font>
    <font>
      <sz val="11"/>
      <color rgb="FF0000FF"/>
      <name val="Calibri"/>
      <family val="2"/>
      <scheme val="minor"/>
    </font>
    <font>
      <b/>
      <sz val="14"/>
      <color theme="1"/>
      <name val="Times New Roman"/>
      <family val="1"/>
    </font>
    <font>
      <b/>
      <i/>
      <sz val="10"/>
      <color theme="1"/>
      <name val="Arial"/>
      <family val="2"/>
    </font>
    <font>
      <b/>
      <i/>
      <sz val="9"/>
      <color theme="1"/>
      <name val="Arial"/>
      <family val="2"/>
    </font>
    <font>
      <b/>
      <i/>
      <sz val="8"/>
      <color theme="1"/>
      <name val="Arial"/>
      <family val="2"/>
    </font>
    <font>
      <b/>
      <sz val="11"/>
      <color theme="1"/>
      <name val="Calibri"/>
      <family val="2"/>
      <scheme val="minor"/>
    </font>
    <font>
      <sz val="12"/>
      <color theme="1"/>
      <name val="Times New Roman"/>
      <family val="1"/>
    </font>
    <font>
      <sz val="10"/>
      <color rgb="FF000000"/>
      <name val="Times New Roman"/>
      <family val="1"/>
    </font>
    <font>
      <sz val="10"/>
      <color theme="1"/>
      <name val="Arial"/>
      <family val="2"/>
    </font>
    <font>
      <b/>
      <sz val="9"/>
      <color theme="1"/>
      <name val="Arial"/>
      <family val="2"/>
    </font>
    <font>
      <sz val="9"/>
      <color theme="1"/>
      <name val="Arial"/>
      <family val="2"/>
    </font>
    <font>
      <sz val="11"/>
      <color theme="0"/>
      <name val="Calibri"/>
      <family val="2"/>
      <scheme val="minor"/>
    </font>
    <font>
      <b/>
      <sz val="11"/>
      <color theme="1"/>
      <name val="Arial Black"/>
      <family val="2"/>
    </font>
    <font>
      <sz val="8"/>
      <name val="Tahoma"/>
      <family val="2"/>
    </font>
    <font>
      <b/>
      <i/>
      <sz val="12"/>
      <color rgb="FF0070C0"/>
      <name val="Arial"/>
      <family val="2"/>
    </font>
    <font>
      <sz val="11"/>
      <color theme="5" tint="-0.249977111117893"/>
      <name val="Calibri"/>
      <family val="2"/>
      <scheme val="minor"/>
    </font>
    <font>
      <b/>
      <sz val="11"/>
      <name val="Calibri"/>
      <family val="2"/>
      <scheme val="minor"/>
    </font>
    <font>
      <b/>
      <i/>
      <sz val="11"/>
      <color rgb="FF0070C0"/>
      <name val="Arial"/>
      <family val="2"/>
    </font>
    <font>
      <i/>
      <sz val="12"/>
      <color rgb="FF0000CC"/>
      <name val="Times New Roman"/>
      <family val="1"/>
    </font>
    <font>
      <b/>
      <i/>
      <sz val="12"/>
      <color rgb="FFFF0000"/>
      <name val="Times New Roman"/>
      <family val="1"/>
    </font>
    <font>
      <b/>
      <sz val="12"/>
      <color rgb="FFFF0000"/>
      <name val="Times New Roman"/>
      <family val="1"/>
    </font>
    <font>
      <b/>
      <sz val="16"/>
      <color rgb="FFFF0000"/>
      <name val="Times New Roman"/>
      <family val="1"/>
    </font>
    <font>
      <b/>
      <i/>
      <sz val="26"/>
      <color theme="8" tint="-0.499984740745262"/>
      <name val="Times New Roman"/>
      <family val="1"/>
    </font>
    <font>
      <sz val="11"/>
      <color theme="8" tint="-0.499984740745262"/>
      <name val="Calibri"/>
      <family val="2"/>
      <scheme val="minor"/>
    </font>
    <font>
      <b/>
      <sz val="12"/>
      <color theme="8" tint="-0.499984740745262"/>
      <name val="Calibri"/>
      <family val="2"/>
      <scheme val="minor"/>
    </font>
    <font>
      <b/>
      <i/>
      <sz val="12"/>
      <color theme="8" tint="-0.499984740745262"/>
      <name val="Arial"/>
      <family val="2"/>
    </font>
  </fonts>
  <fills count="12">
    <fill>
      <patternFill patternType="none"/>
    </fill>
    <fill>
      <patternFill patternType="gray125"/>
    </fill>
    <fill>
      <patternFill patternType="solid">
        <fgColor theme="2" tint="-9.9978637043366805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rgb="FF92D050"/>
        <bgColor indexed="64"/>
      </patternFill>
    </fill>
    <fill>
      <patternFill patternType="solid">
        <fgColor rgb="FFC6E6A2"/>
        <bgColor indexed="64"/>
      </patternFill>
    </fill>
  </fills>
  <borders count="75">
    <border>
      <left/>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auto="1"/>
      </left>
      <right style="medium">
        <color auto="1"/>
      </right>
      <top style="thick">
        <color auto="1"/>
      </top>
      <bottom style="medium">
        <color auto="1"/>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auto="1"/>
      </right>
      <top style="medium">
        <color indexed="64"/>
      </top>
      <bottom/>
      <diagonal/>
    </border>
    <border>
      <left style="medium">
        <color indexed="64"/>
      </left>
      <right style="thick">
        <color auto="1"/>
      </right>
      <top/>
      <bottom style="medium">
        <color indexed="64"/>
      </bottom>
      <diagonal/>
    </border>
    <border>
      <left style="thick">
        <color indexed="64"/>
      </left>
      <right style="medium">
        <color indexed="64"/>
      </right>
      <top style="medium">
        <color indexed="64"/>
      </top>
      <bottom/>
      <diagonal/>
    </border>
    <border>
      <left style="thick">
        <color auto="1"/>
      </left>
      <right style="thick">
        <color auto="1"/>
      </right>
      <top style="thick">
        <color auto="1"/>
      </top>
      <bottom style="thick">
        <color auto="1"/>
      </bottom>
      <diagonal/>
    </border>
    <border>
      <left style="medium">
        <color auto="1"/>
      </left>
      <right style="medium">
        <color auto="1"/>
      </right>
      <top style="thick">
        <color auto="1"/>
      </top>
      <bottom/>
      <diagonal/>
    </border>
    <border>
      <left style="medium">
        <color auto="1"/>
      </left>
      <right/>
      <top style="thick">
        <color auto="1"/>
      </top>
      <bottom style="medium">
        <color auto="1"/>
      </bottom>
      <diagonal/>
    </border>
    <border>
      <left/>
      <right style="thick">
        <color auto="1"/>
      </right>
      <top style="medium">
        <color auto="1"/>
      </top>
      <bottom style="medium">
        <color indexed="64"/>
      </bottom>
      <diagonal/>
    </border>
    <border>
      <left style="thick">
        <color auto="1"/>
      </left>
      <right style="thick">
        <color auto="1"/>
      </right>
      <top style="medium">
        <color auto="1"/>
      </top>
      <bottom style="medium">
        <color auto="1"/>
      </bottom>
      <diagonal/>
    </border>
    <border>
      <left style="thick">
        <color auto="1"/>
      </left>
      <right style="thick">
        <color auto="1"/>
      </right>
      <top/>
      <bottom/>
      <diagonal/>
    </border>
    <border>
      <left style="medium">
        <color auto="1"/>
      </left>
      <right style="thick">
        <color auto="1"/>
      </right>
      <top style="medium">
        <color auto="1"/>
      </top>
      <bottom style="thick">
        <color auto="1"/>
      </bottom>
      <diagonal/>
    </border>
    <border>
      <left/>
      <right/>
      <top style="thick">
        <color auto="1"/>
      </top>
      <bottom style="medium">
        <color indexed="64"/>
      </bottom>
      <diagonal/>
    </border>
    <border>
      <left/>
      <right style="thick">
        <color indexed="64"/>
      </right>
      <top style="thick">
        <color auto="1"/>
      </top>
      <bottom style="medium">
        <color indexed="64"/>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medium">
        <color indexed="64"/>
      </right>
      <top style="thick">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style="medium">
        <color indexed="64"/>
      </left>
      <right style="thick">
        <color indexed="64"/>
      </right>
      <top style="thick">
        <color indexed="64"/>
      </top>
      <bottom/>
      <diagonal/>
    </border>
    <border>
      <left style="medium">
        <color indexed="64"/>
      </left>
      <right style="medium">
        <color indexed="64"/>
      </right>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right/>
      <top style="thin">
        <color indexed="64"/>
      </top>
      <bottom style="thin">
        <color indexed="64"/>
      </bottom>
      <diagonal/>
    </border>
    <border>
      <left style="thick">
        <color auto="1"/>
      </left>
      <right/>
      <top style="thin">
        <color auto="1"/>
      </top>
      <bottom style="thin">
        <color indexed="64"/>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style="thick">
        <color indexed="64"/>
      </left>
      <right/>
      <top/>
      <bottom/>
      <diagonal/>
    </border>
    <border>
      <left/>
      <right style="thick">
        <color indexed="64"/>
      </right>
      <top/>
      <bottom/>
      <diagonal/>
    </border>
    <border>
      <left style="thick">
        <color indexed="64"/>
      </left>
      <right/>
      <top style="medium">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indexed="64"/>
      </left>
      <right/>
      <top style="thick">
        <color indexed="64"/>
      </top>
      <bottom/>
      <diagonal/>
    </border>
    <border>
      <left/>
      <right/>
      <top style="thick">
        <color indexed="64"/>
      </top>
      <bottom/>
      <diagonal/>
    </border>
    <border>
      <left/>
      <right style="thick">
        <color auto="1"/>
      </right>
      <top style="thick">
        <color indexed="64"/>
      </top>
      <bottom/>
      <diagonal/>
    </border>
    <border>
      <left style="thick">
        <color indexed="64"/>
      </left>
      <right/>
      <top/>
      <bottom style="thick">
        <color auto="1"/>
      </bottom>
      <diagonal/>
    </border>
    <border>
      <left style="thick">
        <color auto="1"/>
      </left>
      <right/>
      <top/>
      <bottom style="thin">
        <color auto="1"/>
      </bottom>
      <diagonal/>
    </border>
    <border>
      <left/>
      <right/>
      <top/>
      <bottom style="thin">
        <color auto="1"/>
      </bottom>
      <diagonal/>
    </border>
    <border>
      <left/>
      <right style="thick">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ck">
        <color auto="1"/>
      </right>
      <top style="thin">
        <color auto="1"/>
      </top>
      <bottom/>
      <diagonal/>
    </border>
  </borders>
  <cellStyleXfs count="1">
    <xf numFmtId="0" fontId="0" fillId="0" borderId="0"/>
  </cellStyleXfs>
  <cellXfs count="261">
    <xf numFmtId="0" fontId="0" fillId="0" borderId="0" xfId="0"/>
    <xf numFmtId="0" fontId="0" fillId="0" borderId="0" xfId="0" applyBorder="1"/>
    <xf numFmtId="0" fontId="9" fillId="0" borderId="10" xfId="0" applyFont="1" applyBorder="1" applyAlignment="1">
      <alignment horizontal="center" vertical="center" wrapText="1"/>
    </xf>
    <xf numFmtId="0" fontId="10" fillId="0" borderId="3" xfId="0" applyFont="1" applyBorder="1" applyAlignment="1">
      <alignment horizontal="center" vertical="center" wrapText="1"/>
    </xf>
    <xf numFmtId="2" fontId="0" fillId="0" borderId="3" xfId="0" applyNumberFormat="1"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0" fillId="0" borderId="12" xfId="0" applyNumberFormat="1" applyBorder="1" applyAlignment="1" applyProtection="1">
      <alignment horizontal="center" vertical="center" wrapText="1"/>
      <protection locked="0"/>
    </xf>
    <xf numFmtId="49" fontId="0" fillId="0" borderId="13" xfId="0" applyNumberFormat="1" applyBorder="1" applyAlignment="1" applyProtection="1">
      <alignment horizontal="center" vertical="center" wrapText="1"/>
      <protection locked="0"/>
    </xf>
    <xf numFmtId="0" fontId="11" fillId="0" borderId="3" xfId="0" applyFont="1" applyBorder="1" applyAlignment="1">
      <alignment horizontal="center" vertical="center" wrapText="1"/>
    </xf>
    <xf numFmtId="49" fontId="0" fillId="0" borderId="10" xfId="0" applyNumberFormat="1" applyBorder="1" applyAlignment="1" applyProtection="1">
      <alignment horizontal="center" vertical="center" wrapText="1"/>
      <protection locked="0"/>
    </xf>
    <xf numFmtId="2" fontId="0" fillId="0" borderId="14" xfId="0" applyNumberFormat="1" applyBorder="1" applyAlignment="1" applyProtection="1">
      <alignment horizontal="center" vertical="center" wrapText="1"/>
      <protection locked="0"/>
    </xf>
    <xf numFmtId="0" fontId="11" fillId="0" borderId="14" xfId="0" applyFont="1" applyBorder="1" applyAlignment="1">
      <alignment horizontal="center" vertical="center" wrapText="1"/>
    </xf>
    <xf numFmtId="2" fontId="0" fillId="0" borderId="18" xfId="0" applyNumberFormat="1" applyBorder="1" applyAlignment="1" applyProtection="1">
      <alignment horizontal="center" vertical="center" wrapText="1"/>
      <protection locked="0"/>
    </xf>
    <xf numFmtId="2" fontId="8" fillId="8" borderId="7" xfId="0" applyNumberFormat="1" applyFont="1" applyFill="1" applyBorder="1" applyAlignment="1" applyProtection="1">
      <alignment horizontal="center" vertical="center" wrapText="1"/>
      <protection locked="0"/>
    </xf>
    <xf numFmtId="2" fontId="8" fillId="8" borderId="8" xfId="0" applyNumberFormat="1" applyFont="1" applyFill="1" applyBorder="1" applyAlignment="1" applyProtection="1">
      <alignment horizontal="center" vertical="center" wrapText="1"/>
      <protection locked="0"/>
    </xf>
    <xf numFmtId="2" fontId="8" fillId="8" borderId="19" xfId="0" applyNumberFormat="1" applyFont="1" applyFill="1" applyBorder="1" applyAlignment="1" applyProtection="1">
      <alignment horizontal="center" vertical="center" wrapText="1"/>
      <protection locked="0"/>
    </xf>
    <xf numFmtId="164" fontId="0" fillId="0" borderId="0" xfId="0" applyNumberFormat="1"/>
    <xf numFmtId="164" fontId="8" fillId="8" borderId="8" xfId="0" applyNumberFormat="1" applyFont="1" applyFill="1" applyBorder="1" applyAlignment="1" applyProtection="1">
      <alignment horizontal="center" vertical="center" wrapText="1"/>
      <protection locked="0"/>
    </xf>
    <xf numFmtId="164" fontId="8" fillId="8" borderId="9" xfId="0" applyNumberFormat="1" applyFont="1" applyFill="1" applyBorder="1" applyAlignment="1" applyProtection="1">
      <alignment horizontal="center" vertical="center" wrapText="1"/>
      <protection locked="0"/>
    </xf>
    <xf numFmtId="164" fontId="0" fillId="0" borderId="3" xfId="0" applyNumberFormat="1" applyBorder="1" applyAlignment="1" applyProtection="1">
      <alignment horizontal="center" vertical="center" wrapText="1"/>
      <protection locked="0"/>
    </xf>
    <xf numFmtId="164" fontId="0" fillId="0" borderId="11" xfId="0" applyNumberFormat="1" applyBorder="1" applyAlignment="1" applyProtection="1">
      <alignment horizontal="center" vertical="center" wrapText="1"/>
      <protection locked="0"/>
    </xf>
    <xf numFmtId="164" fontId="0" fillId="0" borderId="14" xfId="0" applyNumberFormat="1" applyBorder="1" applyAlignment="1" applyProtection="1">
      <alignment horizontal="center" vertical="center" wrapText="1"/>
      <protection locked="0"/>
    </xf>
    <xf numFmtId="164" fontId="0" fillId="8" borderId="14" xfId="0" applyNumberFormat="1" applyFill="1" applyBorder="1" applyAlignment="1" applyProtection="1">
      <alignment horizontal="center" vertical="center" wrapText="1"/>
      <protection locked="0"/>
    </xf>
    <xf numFmtId="164" fontId="0" fillId="8" borderId="11" xfId="0" applyNumberFormat="1" applyFill="1" applyBorder="1" applyAlignment="1" applyProtection="1">
      <alignment horizontal="center" vertical="center" wrapText="1"/>
      <protection locked="0"/>
    </xf>
    <xf numFmtId="164" fontId="8" fillId="8" borderId="20" xfId="0" applyNumberFormat="1" applyFont="1" applyFill="1" applyBorder="1" applyAlignment="1" applyProtection="1">
      <alignment horizontal="center" vertical="center" wrapText="1"/>
      <protection locked="0"/>
    </xf>
    <xf numFmtId="164" fontId="0" fillId="8" borderId="1" xfId="0" applyNumberFormat="1" applyFill="1" applyBorder="1" applyAlignment="1" applyProtection="1">
      <alignment horizontal="center" vertical="center" wrapText="1"/>
      <protection locked="0"/>
    </xf>
    <xf numFmtId="2" fontId="0" fillId="0" borderId="22" xfId="0" applyNumberFormat="1" applyBorder="1" applyAlignment="1" applyProtection="1">
      <alignment horizontal="center" vertical="center" wrapText="1"/>
      <protection locked="0"/>
    </xf>
    <xf numFmtId="2" fontId="0" fillId="0" borderId="21" xfId="0" applyNumberFormat="1" applyFill="1" applyBorder="1" applyAlignment="1" applyProtection="1">
      <alignment horizontal="center" vertical="center" wrapText="1"/>
      <protection locked="0"/>
    </xf>
    <xf numFmtId="2" fontId="0" fillId="0" borderId="23" xfId="0" applyNumberFormat="1" applyFill="1" applyBorder="1" applyAlignment="1" applyProtection="1">
      <alignment horizontal="center" vertical="center" wrapText="1"/>
      <protection locked="0"/>
    </xf>
    <xf numFmtId="165" fontId="0" fillId="0" borderId="0" xfId="0" applyNumberFormat="1"/>
    <xf numFmtId="164" fontId="0" fillId="8" borderId="3" xfId="0" applyNumberFormat="1" applyFill="1" applyBorder="1" applyAlignment="1" applyProtection="1">
      <alignment horizontal="center" vertical="center" wrapText="1"/>
      <protection locked="0"/>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vertical="center"/>
    </xf>
    <xf numFmtId="0" fontId="0" fillId="8" borderId="3" xfId="0" applyFill="1" applyBorder="1" applyAlignment="1">
      <alignment horizontal="center" vertical="center"/>
    </xf>
    <xf numFmtId="0" fontId="0" fillId="8" borderId="11" xfId="0" applyFill="1" applyBorder="1" applyAlignment="1">
      <alignment horizontal="center" vertical="center"/>
    </xf>
    <xf numFmtId="0" fontId="0" fillId="8" borderId="8" xfId="0" applyFill="1" applyBorder="1" applyAlignment="1">
      <alignment horizontal="center" vertical="center"/>
    </xf>
    <xf numFmtId="0" fontId="0" fillId="8" borderId="7" xfId="0" applyFill="1" applyBorder="1" applyAlignment="1">
      <alignment horizontal="center" vertical="center"/>
    </xf>
    <xf numFmtId="0" fontId="0" fillId="8" borderId="10" xfId="0" applyFill="1" applyBorder="1" applyAlignment="1">
      <alignment horizontal="center" vertical="center"/>
    </xf>
    <xf numFmtId="2" fontId="0" fillId="0" borderId="22" xfId="0" applyNumberFormat="1" applyBorder="1" applyAlignment="1" applyProtection="1">
      <alignment horizontal="center" vertical="center" wrapText="1"/>
      <protection locked="0"/>
    </xf>
    <xf numFmtId="0" fontId="0" fillId="0" borderId="10" xfId="0" applyFill="1" applyBorder="1" applyAlignment="1">
      <alignment horizontal="center" vertical="center"/>
    </xf>
    <xf numFmtId="0" fontId="15" fillId="8" borderId="7" xfId="0" applyFont="1" applyFill="1" applyBorder="1" applyAlignment="1">
      <alignment horizontal="center" vertical="center"/>
    </xf>
    <xf numFmtId="0" fontId="15" fillId="0" borderId="10" xfId="0" applyFont="1" applyBorder="1" applyAlignment="1">
      <alignment horizontal="center" vertical="center"/>
    </xf>
    <xf numFmtId="0" fontId="8" fillId="0" borderId="12" xfId="0" applyFont="1" applyBorder="1" applyAlignment="1">
      <alignment horizontal="center" vertical="center"/>
    </xf>
    <xf numFmtId="0" fontId="8" fillId="8" borderId="7" xfId="0" applyFont="1" applyFill="1" applyBorder="1" applyAlignment="1">
      <alignment horizontal="center" vertical="center"/>
    </xf>
    <xf numFmtId="168" fontId="0" fillId="0" borderId="0" xfId="0" applyNumberFormat="1"/>
    <xf numFmtId="0" fontId="0" fillId="8" borderId="9" xfId="0" applyFill="1" applyBorder="1" applyAlignment="1">
      <alignment horizontal="center" vertical="center"/>
    </xf>
    <xf numFmtId="167" fontId="0" fillId="0" borderId="0" xfId="0" applyNumberFormat="1" applyAlignment="1">
      <alignment horizontal="center" vertical="center" wrapText="1"/>
    </xf>
    <xf numFmtId="167" fontId="0" fillId="0" borderId="30" xfId="0" applyNumberFormat="1" applyBorder="1" applyAlignment="1">
      <alignment horizontal="center" vertical="center" wrapText="1"/>
    </xf>
    <xf numFmtId="1" fontId="0" fillId="0" borderId="30" xfId="0" applyNumberFormat="1" applyBorder="1" applyAlignment="1">
      <alignment horizontal="center" vertical="center" wrapText="1"/>
    </xf>
    <xf numFmtId="1" fontId="0" fillId="0" borderId="32" xfId="0" applyNumberFormat="1" applyBorder="1" applyAlignment="1">
      <alignment horizontal="center" vertical="center" wrapText="1"/>
    </xf>
    <xf numFmtId="167" fontId="8" fillId="0" borderId="30" xfId="0" applyNumberFormat="1" applyFont="1" applyBorder="1" applyAlignment="1">
      <alignment horizontal="center" vertical="center" wrapText="1"/>
    </xf>
    <xf numFmtId="167" fontId="8" fillId="0" borderId="2" xfId="0" applyNumberFormat="1" applyFont="1" applyBorder="1" applyAlignment="1">
      <alignment horizontal="center" vertical="center" wrapText="1"/>
    </xf>
    <xf numFmtId="167" fontId="8" fillId="0" borderId="31" xfId="0" applyNumberFormat="1" applyFont="1" applyBorder="1" applyAlignment="1">
      <alignment horizontal="center" vertical="center" wrapText="1"/>
    </xf>
    <xf numFmtId="167" fontId="0" fillId="0" borderId="0" xfId="0" applyNumberFormat="1" applyAlignment="1">
      <alignment vertical="center" wrapText="1"/>
    </xf>
    <xf numFmtId="167" fontId="0" fillId="0" borderId="8" xfId="0" applyNumberFormat="1" applyBorder="1" applyAlignment="1">
      <alignment horizontal="center" vertical="center" wrapText="1"/>
    </xf>
    <xf numFmtId="167" fontId="0" fillId="0" borderId="9" xfId="0" applyNumberFormat="1" applyBorder="1" applyAlignment="1">
      <alignment vertical="center" wrapText="1"/>
    </xf>
    <xf numFmtId="167" fontId="0" fillId="0" borderId="10" xfId="0" applyNumberFormat="1" applyBorder="1" applyAlignment="1">
      <alignment horizontal="center" vertical="center" wrapText="1"/>
    </xf>
    <xf numFmtId="167" fontId="0" fillId="0" borderId="3" xfId="0" applyNumberFormat="1" applyBorder="1" applyAlignment="1">
      <alignment horizontal="center" vertical="center" wrapText="1"/>
    </xf>
    <xf numFmtId="167" fontId="0" fillId="0" borderId="11" xfId="0" applyNumberFormat="1" applyBorder="1" applyAlignment="1">
      <alignment horizontal="center" vertical="center" wrapText="1"/>
    </xf>
    <xf numFmtId="2" fontId="0" fillId="0" borderId="10" xfId="0" applyNumberFormat="1" applyBorder="1" applyAlignment="1">
      <alignment horizontal="center" vertical="center" wrapText="1"/>
    </xf>
    <xf numFmtId="2" fontId="0" fillId="0" borderId="3" xfId="0" applyNumberFormat="1" applyBorder="1" applyAlignment="1">
      <alignment horizontal="center" vertical="center" wrapText="1"/>
    </xf>
    <xf numFmtId="2" fontId="0" fillId="0" borderId="11" xfId="0" applyNumberFormat="1" applyBorder="1" applyAlignment="1">
      <alignment horizontal="center" vertical="center" wrapText="1"/>
    </xf>
    <xf numFmtId="2" fontId="0" fillId="0" borderId="14" xfId="0" applyNumberFormat="1" applyBorder="1" applyAlignment="1">
      <alignment horizontal="center" vertical="center" wrapText="1"/>
    </xf>
    <xf numFmtId="167" fontId="0" fillId="0" borderId="6" xfId="0" applyNumberFormat="1" applyBorder="1" applyAlignment="1">
      <alignment horizontal="center" vertical="center" wrapText="1"/>
    </xf>
    <xf numFmtId="2" fontId="0" fillId="0" borderId="6" xfId="0" applyNumberFormat="1" applyBorder="1" applyAlignment="1">
      <alignment horizontal="center" vertical="center" wrapText="1"/>
    </xf>
    <xf numFmtId="167" fontId="0" fillId="0" borderId="7" xfId="0" applyNumberFormat="1" applyBorder="1" applyAlignment="1">
      <alignment vertical="center" wrapText="1"/>
    </xf>
    <xf numFmtId="167" fontId="0" fillId="0" borderId="14" xfId="0" applyNumberFormat="1" applyBorder="1" applyAlignment="1">
      <alignment horizontal="center" vertical="center" wrapText="1"/>
    </xf>
    <xf numFmtId="0" fontId="0" fillId="0" borderId="3" xfId="0" applyBorder="1" applyAlignment="1">
      <alignment horizontal="center" vertical="center"/>
    </xf>
    <xf numFmtId="167" fontId="8" fillId="0" borderId="7" xfId="0" applyNumberFormat="1" applyFont="1" applyBorder="1" applyAlignment="1">
      <alignment horizontal="center" vertical="center" wrapText="1"/>
    </xf>
    <xf numFmtId="167" fontId="0" fillId="0" borderId="9" xfId="0" applyNumberFormat="1" applyBorder="1" applyAlignment="1">
      <alignment horizontal="center" vertical="center" wrapText="1"/>
    </xf>
    <xf numFmtId="1" fontId="0" fillId="0" borderId="10" xfId="0" applyNumberFormat="1" applyBorder="1" applyAlignment="1">
      <alignment horizontal="center" vertical="center" wrapText="1"/>
    </xf>
    <xf numFmtId="1" fontId="0" fillId="0" borderId="12" xfId="0" applyNumberFormat="1" applyBorder="1" applyAlignment="1">
      <alignment horizontal="center" vertical="center" wrapText="1"/>
    </xf>
    <xf numFmtId="167" fontId="0" fillId="0" borderId="10" xfId="0" applyNumberFormat="1" applyBorder="1" applyAlignment="1">
      <alignment vertical="center" wrapText="1"/>
    </xf>
    <xf numFmtId="167" fontId="0" fillId="0" borderId="3" xfId="0" applyNumberFormat="1" applyBorder="1" applyAlignment="1">
      <alignment vertical="center" wrapText="1"/>
    </xf>
    <xf numFmtId="0" fontId="0" fillId="0" borderId="3" xfId="0" applyBorder="1" applyAlignment="1">
      <alignment horizontal="center" vertical="center"/>
    </xf>
    <xf numFmtId="167" fontId="0" fillId="0" borderId="3" xfId="0" applyNumberForma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vertical="center"/>
    </xf>
    <xf numFmtId="165" fontId="19" fillId="10" borderId="31" xfId="0" applyNumberFormat="1" applyFont="1" applyFill="1" applyBorder="1" applyAlignment="1">
      <alignment horizontal="center" vertical="center"/>
    </xf>
    <xf numFmtId="2" fontId="18" fillId="9" borderId="2" xfId="0" applyNumberFormat="1" applyFont="1" applyFill="1" applyBorder="1" applyAlignment="1">
      <alignment horizontal="center" vertical="center"/>
    </xf>
    <xf numFmtId="4" fontId="18" fillId="9" borderId="2" xfId="0" applyNumberFormat="1" applyFont="1" applyFill="1" applyBorder="1" applyAlignment="1">
      <alignment horizontal="center" vertical="center"/>
    </xf>
    <xf numFmtId="2" fontId="18" fillId="9" borderId="31" xfId="0" applyNumberFormat="1" applyFont="1" applyFill="1" applyBorder="1" applyAlignment="1">
      <alignment horizontal="center" vertical="center"/>
    </xf>
    <xf numFmtId="165" fontId="19" fillId="11" borderId="31" xfId="0" applyNumberFormat="1" applyFont="1" applyFill="1" applyBorder="1" applyAlignment="1">
      <alignment horizontal="center" vertical="center"/>
    </xf>
    <xf numFmtId="0" fontId="9" fillId="0" borderId="0" xfId="0" applyFont="1" applyAlignment="1">
      <alignment horizontal="left" vertical="center"/>
    </xf>
    <xf numFmtId="3" fontId="18" fillId="9" borderId="2" xfId="0" applyNumberFormat="1" applyFont="1" applyFill="1" applyBorder="1" applyAlignment="1">
      <alignment horizontal="center" vertical="center"/>
    </xf>
    <xf numFmtId="169" fontId="3" fillId="5" borderId="31" xfId="0" applyNumberFormat="1" applyFont="1" applyFill="1" applyBorder="1" applyAlignment="1" applyProtection="1">
      <alignment horizontal="center"/>
      <protection locked="0"/>
    </xf>
    <xf numFmtId="165" fontId="3" fillId="5" borderId="31" xfId="0" applyNumberFormat="1" applyFont="1" applyFill="1" applyBorder="1" applyAlignment="1" applyProtection="1">
      <alignment horizontal="center"/>
      <protection locked="0"/>
    </xf>
    <xf numFmtId="165" fontId="3" fillId="5" borderId="34" xfId="0" applyNumberFormat="1" applyFont="1" applyFill="1" applyBorder="1" applyAlignment="1" applyProtection="1">
      <alignment horizontal="center"/>
      <protection locked="0"/>
    </xf>
    <xf numFmtId="1" fontId="3" fillId="5" borderId="31" xfId="0" applyNumberFormat="1" applyFont="1" applyFill="1" applyBorder="1" applyAlignment="1" applyProtection="1">
      <alignment horizontal="center"/>
      <protection locked="0"/>
    </xf>
    <xf numFmtId="166" fontId="3" fillId="5" borderId="31" xfId="0" applyNumberFormat="1" applyFont="1" applyFill="1" applyBorder="1" applyAlignment="1" applyProtection="1">
      <alignment horizontal="center"/>
      <protection locked="0"/>
    </xf>
    <xf numFmtId="165" fontId="3" fillId="5" borderId="31" xfId="0" applyNumberFormat="1" applyFont="1" applyFill="1" applyBorder="1" applyAlignment="1" applyProtection="1">
      <alignment horizontal="center" vertical="center"/>
      <protection locked="0"/>
    </xf>
    <xf numFmtId="165" fontId="3" fillId="5" borderId="2" xfId="0" applyNumberFormat="1" applyFont="1" applyFill="1" applyBorder="1" applyAlignment="1" applyProtection="1">
      <alignment horizontal="center" vertical="center"/>
      <protection locked="0"/>
    </xf>
    <xf numFmtId="1" fontId="3" fillId="5" borderId="2" xfId="0" applyNumberFormat="1" applyFont="1" applyFill="1" applyBorder="1" applyAlignment="1" applyProtection="1">
      <alignment horizontal="center" vertical="center"/>
      <protection locked="0"/>
    </xf>
    <xf numFmtId="1" fontId="3" fillId="5" borderId="31" xfId="0" applyNumberFormat="1" applyFont="1" applyFill="1" applyBorder="1" applyAlignment="1" applyProtection="1">
      <alignment horizontal="center" vertical="center"/>
      <protection locked="0"/>
    </xf>
    <xf numFmtId="165" fontId="18" fillId="9" borderId="31" xfId="0" applyNumberFormat="1" applyFont="1" applyFill="1" applyBorder="1" applyAlignment="1">
      <alignment horizontal="center" vertical="center"/>
    </xf>
    <xf numFmtId="0" fontId="9" fillId="0" borderId="0" xfId="0" applyFont="1" applyAlignment="1">
      <alignment horizontal="left" vertical="center"/>
    </xf>
    <xf numFmtId="0" fontId="0" fillId="0" borderId="0" xfId="0" applyAlignment="1">
      <alignment vertical="center" wrapText="1"/>
    </xf>
    <xf numFmtId="165" fontId="0" fillId="0" borderId="0" xfId="0" applyNumberFormat="1" applyAlignment="1">
      <alignment vertical="center" wrapText="1"/>
    </xf>
    <xf numFmtId="2" fontId="3" fillId="5" borderId="31" xfId="0" applyNumberFormat="1" applyFont="1" applyFill="1" applyBorder="1" applyAlignment="1" applyProtection="1">
      <alignment horizontal="center" vertical="center"/>
      <protection locked="0"/>
    </xf>
    <xf numFmtId="0" fontId="9" fillId="0" borderId="0" xfId="0" applyFont="1" applyAlignment="1">
      <alignment horizontal="left" vertical="center"/>
    </xf>
    <xf numFmtId="0" fontId="9" fillId="0" borderId="0" xfId="0" applyFont="1" applyAlignment="1">
      <alignment horizontal="left" vertical="center" wrapText="1"/>
    </xf>
    <xf numFmtId="0" fontId="4" fillId="2" borderId="52" xfId="0" applyFont="1" applyFill="1" applyBorder="1" applyAlignment="1">
      <alignment horizontal="center" vertical="center" textRotation="90"/>
    </xf>
    <xf numFmtId="0" fontId="4" fillId="2" borderId="53" xfId="0" applyFont="1" applyFill="1" applyBorder="1" applyAlignment="1">
      <alignment horizontal="center" vertical="center" textRotation="90"/>
    </xf>
    <xf numFmtId="0" fontId="4" fillId="2" borderId="50" xfId="0" applyFont="1" applyFill="1" applyBorder="1" applyAlignment="1">
      <alignment horizontal="center" vertical="center" textRotation="90"/>
    </xf>
    <xf numFmtId="0" fontId="20" fillId="6" borderId="30"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1" xfId="0" applyFont="1" applyFill="1" applyBorder="1" applyAlignment="1">
      <alignment horizontal="center" vertical="center" wrapText="1"/>
    </xf>
    <xf numFmtId="0" fontId="0" fillId="7" borderId="55" xfId="0" applyFill="1" applyBorder="1" applyAlignment="1">
      <alignment horizontal="center"/>
    </xf>
    <xf numFmtId="0" fontId="0" fillId="7" borderId="56" xfId="0" applyFill="1" applyBorder="1" applyAlignment="1">
      <alignment horizontal="center"/>
    </xf>
    <xf numFmtId="0" fontId="0" fillId="7" borderId="57" xfId="0" applyFill="1" applyBorder="1" applyAlignment="1">
      <alignment horizontal="center"/>
    </xf>
    <xf numFmtId="0" fontId="0" fillId="0" borderId="30" xfId="0" applyBorder="1" applyAlignment="1">
      <alignment horizontal="center"/>
    </xf>
    <xf numFmtId="0" fontId="0" fillId="0" borderId="2"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4" fillId="6" borderId="30" xfId="0" applyFont="1" applyFill="1" applyBorder="1" applyAlignment="1">
      <alignment horizontal="center" vertical="center" textRotation="90" wrapText="1"/>
    </xf>
    <xf numFmtId="0" fontId="4" fillId="6" borderId="2" xfId="0" applyFont="1" applyFill="1" applyBorder="1" applyAlignment="1">
      <alignment horizontal="center" vertical="center" textRotation="90" wrapText="1"/>
    </xf>
    <xf numFmtId="0" fontId="4" fillId="6" borderId="31" xfId="0" applyFont="1" applyFill="1" applyBorder="1" applyAlignment="1">
      <alignment horizontal="center" vertical="center" textRotation="90" wrapText="1"/>
    </xf>
    <xf numFmtId="0" fontId="4" fillId="6" borderId="32" xfId="0" applyFont="1" applyFill="1" applyBorder="1" applyAlignment="1">
      <alignment horizontal="center" vertical="center" textRotation="90" wrapText="1"/>
    </xf>
    <xf numFmtId="0" fontId="4" fillId="6" borderId="33" xfId="0" applyFont="1" applyFill="1" applyBorder="1" applyAlignment="1">
      <alignment horizontal="center" vertical="center" textRotation="90" wrapText="1"/>
    </xf>
    <xf numFmtId="0" fontId="4" fillId="6" borderId="34" xfId="0" applyFont="1" applyFill="1" applyBorder="1" applyAlignment="1">
      <alignment horizontal="center" vertical="center" textRotation="90" wrapText="1"/>
    </xf>
    <xf numFmtId="0" fontId="2" fillId="4" borderId="30" xfId="0" applyFont="1" applyFill="1" applyBorder="1" applyAlignment="1">
      <alignment horizontal="left" vertical="center"/>
    </xf>
    <xf numFmtId="0" fontId="2" fillId="4" borderId="2" xfId="0" applyFont="1" applyFill="1" applyBorder="1" applyAlignment="1">
      <alignment horizontal="left" vertical="center"/>
    </xf>
    <xf numFmtId="2" fontId="18" fillId="9" borderId="31" xfId="0" applyNumberFormat="1" applyFont="1" applyFill="1" applyBorder="1" applyAlignment="1">
      <alignment horizontal="center" vertical="center"/>
    </xf>
    <xf numFmtId="0" fontId="0" fillId="7" borderId="50" xfId="0" applyFill="1" applyBorder="1" applyAlignment="1">
      <alignment horizontal="center"/>
    </xf>
    <xf numFmtId="0" fontId="0" fillId="0" borderId="0" xfId="0" applyBorder="1"/>
    <xf numFmtId="0" fontId="0" fillId="0" borderId="54" xfId="0" applyBorder="1"/>
    <xf numFmtId="0" fontId="4" fillId="2" borderId="51" xfId="0" applyFont="1" applyFill="1" applyBorder="1" applyAlignment="1">
      <alignment horizontal="center" vertical="center" textRotation="90"/>
    </xf>
    <xf numFmtId="0" fontId="2" fillId="4" borderId="30" xfId="0" applyFont="1" applyFill="1" applyBorder="1" applyAlignment="1" applyProtection="1">
      <alignment horizontal="left" vertical="center"/>
    </xf>
    <xf numFmtId="0" fontId="2" fillId="4" borderId="2" xfId="0" applyFont="1" applyFill="1" applyBorder="1" applyAlignment="1" applyProtection="1">
      <alignment horizontal="left" vertical="center"/>
    </xf>
    <xf numFmtId="0" fontId="2" fillId="4" borderId="31" xfId="0" applyFont="1" applyFill="1" applyBorder="1" applyAlignment="1" applyProtection="1">
      <alignment horizontal="left" vertical="center"/>
    </xf>
    <xf numFmtId="2" fontId="19" fillId="11" borderId="31" xfId="0" applyNumberFormat="1" applyFont="1" applyFill="1" applyBorder="1" applyAlignment="1">
      <alignment horizontal="center" vertical="center"/>
    </xf>
    <xf numFmtId="0" fontId="2" fillId="4" borderId="32" xfId="0" applyFont="1" applyFill="1" applyBorder="1" applyAlignment="1">
      <alignment horizontal="left"/>
    </xf>
    <xf numFmtId="0" fontId="2" fillId="4" borderId="33" xfId="0" applyFont="1" applyFill="1" applyBorder="1" applyAlignment="1">
      <alignment horizontal="left"/>
    </xf>
    <xf numFmtId="0" fontId="0" fillId="0" borderId="45" xfId="0" applyBorder="1" applyAlignment="1">
      <alignment horizontal="center"/>
    </xf>
    <xf numFmtId="0" fontId="0" fillId="0" borderId="44"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4" fillId="6" borderId="44" xfId="0" applyFont="1" applyFill="1" applyBorder="1" applyAlignment="1">
      <alignment horizontal="center" vertical="center" textRotation="90" wrapText="1"/>
    </xf>
    <xf numFmtId="0" fontId="4" fillId="6" borderId="48" xfId="0" applyFont="1" applyFill="1" applyBorder="1" applyAlignment="1">
      <alignment horizontal="center" vertical="center" textRotation="90" wrapText="1"/>
    </xf>
    <xf numFmtId="0" fontId="4" fillId="6" borderId="46" xfId="0" applyFont="1" applyFill="1" applyBorder="1" applyAlignment="1">
      <alignment horizontal="center" vertical="center" textRotation="90" wrapText="1"/>
    </xf>
    <xf numFmtId="0" fontId="4" fillId="6" borderId="49" xfId="0" applyFont="1" applyFill="1" applyBorder="1" applyAlignment="1">
      <alignment horizontal="center" vertical="center" textRotation="90" wrapText="1"/>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20" fillId="6" borderId="58" xfId="0" applyFont="1" applyFill="1" applyBorder="1" applyAlignment="1">
      <alignment horizontal="center" vertical="center" wrapText="1"/>
    </xf>
    <xf numFmtId="0" fontId="20" fillId="6" borderId="59" xfId="0" applyFont="1" applyFill="1" applyBorder="1" applyAlignment="1">
      <alignment horizontal="center" vertical="center" wrapText="1"/>
    </xf>
    <xf numFmtId="0" fontId="20" fillId="6" borderId="60" xfId="0" applyFont="1" applyFill="1" applyBorder="1" applyAlignment="1">
      <alignment horizontal="center" vertical="center" wrapText="1"/>
    </xf>
    <xf numFmtId="4" fontId="18" fillId="9" borderId="68" xfId="0" applyNumberFormat="1" applyFont="1" applyFill="1" applyBorder="1" applyAlignment="1">
      <alignment horizontal="center" vertical="center"/>
    </xf>
    <xf numFmtId="4" fontId="18" fillId="9" borderId="59" xfId="0" applyNumberFormat="1" applyFont="1" applyFill="1" applyBorder="1" applyAlignment="1">
      <alignment horizontal="center" vertical="center"/>
    </xf>
    <xf numFmtId="0" fontId="2" fillId="4" borderId="69" xfId="0" applyFont="1" applyFill="1" applyBorder="1" applyAlignment="1">
      <alignment horizontal="center" vertical="center"/>
    </xf>
    <xf numFmtId="0" fontId="2" fillId="4" borderId="71" xfId="0" applyFont="1" applyFill="1" applyBorder="1" applyAlignment="1">
      <alignment horizontal="center" vertical="center"/>
    </xf>
    <xf numFmtId="0" fontId="2" fillId="4" borderId="72" xfId="0" applyFont="1" applyFill="1" applyBorder="1" applyAlignment="1">
      <alignment horizontal="center" vertical="center"/>
    </xf>
    <xf numFmtId="0" fontId="2" fillId="4" borderId="73" xfId="0" applyFont="1" applyFill="1" applyBorder="1" applyAlignment="1">
      <alignment horizontal="center" vertical="center"/>
    </xf>
    <xf numFmtId="0" fontId="17" fillId="2" borderId="58" xfId="0" applyFont="1" applyFill="1" applyBorder="1" applyAlignment="1">
      <alignment horizontal="center" vertical="center"/>
    </xf>
    <xf numFmtId="0" fontId="17" fillId="2" borderId="59" xfId="0" applyFont="1" applyFill="1" applyBorder="1" applyAlignment="1">
      <alignment horizontal="center" vertical="center"/>
    </xf>
    <xf numFmtId="0" fontId="17" fillId="2" borderId="60" xfId="0" applyFont="1" applyFill="1" applyBorder="1" applyAlignment="1">
      <alignment horizontal="center" vertical="center"/>
    </xf>
    <xf numFmtId="0" fontId="4" fillId="2" borderId="42" xfId="0" applyFont="1" applyFill="1" applyBorder="1" applyAlignment="1">
      <alignment horizontal="center" vertical="center" textRotation="90"/>
    </xf>
    <xf numFmtId="0" fontId="4" fillId="2" borderId="22" xfId="0" applyFont="1" applyFill="1" applyBorder="1" applyAlignment="1">
      <alignment horizontal="center" vertical="center" textRotation="90"/>
    </xf>
    <xf numFmtId="0" fontId="4" fillId="2" borderId="43" xfId="0" applyFont="1" applyFill="1" applyBorder="1" applyAlignment="1">
      <alignment horizontal="center" vertical="center" textRotation="90"/>
    </xf>
    <xf numFmtId="0" fontId="17" fillId="2" borderId="27" xfId="0" applyFont="1" applyFill="1" applyBorder="1" applyAlignment="1">
      <alignment horizontal="center" vertical="center"/>
    </xf>
    <xf numFmtId="0" fontId="17" fillId="2" borderId="28" xfId="0" applyFont="1" applyFill="1" applyBorder="1" applyAlignment="1">
      <alignment horizontal="center" vertical="center"/>
    </xf>
    <xf numFmtId="0" fontId="17" fillId="2" borderId="29"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1" xfId="0" applyFont="1" applyFill="1" applyBorder="1" applyAlignment="1">
      <alignment horizontal="center" vertical="center"/>
    </xf>
    <xf numFmtId="0" fontId="2" fillId="4" borderId="30" xfId="0" applyFont="1" applyFill="1" applyBorder="1" applyAlignment="1">
      <alignment horizontal="left"/>
    </xf>
    <xf numFmtId="0" fontId="2" fillId="4" borderId="2" xfId="0" applyFont="1" applyFill="1" applyBorder="1" applyAlignment="1">
      <alignment horizontal="left"/>
    </xf>
    <xf numFmtId="2" fontId="18" fillId="9" borderId="68" xfId="0" applyNumberFormat="1" applyFont="1" applyFill="1" applyBorder="1" applyAlignment="1">
      <alignment horizontal="center" vertical="center"/>
    </xf>
    <xf numFmtId="2" fontId="18" fillId="9" borderId="59" xfId="0" applyNumberFormat="1" applyFont="1" applyFill="1" applyBorder="1" applyAlignment="1">
      <alignment horizontal="center" vertical="center"/>
    </xf>
    <xf numFmtId="0" fontId="2" fillId="4" borderId="69" xfId="0" applyFont="1" applyFill="1" applyBorder="1" applyAlignment="1">
      <alignment horizontal="left" vertical="center"/>
    </xf>
    <xf numFmtId="0" fontId="2" fillId="4" borderId="70" xfId="0" applyFont="1" applyFill="1" applyBorder="1" applyAlignment="1">
      <alignment horizontal="left" vertical="center"/>
    </xf>
    <xf numFmtId="0" fontId="2" fillId="4" borderId="71" xfId="0" applyFont="1" applyFill="1" applyBorder="1" applyAlignment="1">
      <alignment horizontal="left" vertical="center"/>
    </xf>
    <xf numFmtId="0" fontId="2" fillId="4" borderId="72" xfId="0" applyFont="1" applyFill="1" applyBorder="1" applyAlignment="1">
      <alignment horizontal="left" vertical="center"/>
    </xf>
    <xf numFmtId="0" fontId="2" fillId="4" borderId="66" xfId="0" applyFont="1" applyFill="1" applyBorder="1" applyAlignment="1">
      <alignment horizontal="left" vertical="center"/>
    </xf>
    <xf numFmtId="0" fontId="2" fillId="4" borderId="73" xfId="0" applyFont="1" applyFill="1" applyBorder="1" applyAlignment="1">
      <alignment horizontal="left" vertical="center"/>
    </xf>
    <xf numFmtId="165" fontId="19" fillId="11" borderId="74" xfId="0" applyNumberFormat="1" applyFont="1" applyFill="1" applyBorder="1" applyAlignment="1">
      <alignment horizontal="center" vertical="center"/>
    </xf>
    <xf numFmtId="165" fontId="19" fillId="11" borderId="60" xfId="0" applyNumberFormat="1" applyFont="1" applyFill="1" applyBorder="1" applyAlignment="1">
      <alignment horizontal="center" vertical="center"/>
    </xf>
    <xf numFmtId="0" fontId="25" fillId="3" borderId="7" xfId="0" applyFont="1" applyFill="1" applyBorder="1" applyAlignment="1">
      <alignment horizontal="center" vertical="center"/>
    </xf>
    <xf numFmtId="0" fontId="26" fillId="3" borderId="8" xfId="0" applyFont="1" applyFill="1" applyBorder="1" applyAlignment="1">
      <alignment horizontal="center" vertical="center"/>
    </xf>
    <xf numFmtId="0" fontId="26" fillId="3" borderId="9"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11" xfId="0" applyFont="1" applyFill="1" applyBorder="1" applyAlignment="1">
      <alignment horizontal="center" vertical="center"/>
    </xf>
    <xf numFmtId="0" fontId="26" fillId="3" borderId="12" xfId="0" applyFont="1" applyFill="1" applyBorder="1" applyAlignment="1">
      <alignment horizontal="center" vertical="center"/>
    </xf>
    <xf numFmtId="0" fontId="26" fillId="3" borderId="14" xfId="0" applyFont="1" applyFill="1" applyBorder="1" applyAlignment="1">
      <alignment horizontal="center" vertical="center"/>
    </xf>
    <xf numFmtId="0" fontId="26" fillId="3" borderId="24" xfId="0" applyFont="1" applyFill="1" applyBorder="1" applyAlignment="1">
      <alignment horizontal="center" vertical="center"/>
    </xf>
    <xf numFmtId="0" fontId="27" fillId="3" borderId="61" xfId="0" applyFont="1" applyFill="1" applyBorder="1" applyAlignment="1">
      <alignment horizontal="left" vertical="center"/>
    </xf>
    <xf numFmtId="0" fontId="27" fillId="3" borderId="62" xfId="0" applyFont="1" applyFill="1" applyBorder="1" applyAlignment="1">
      <alignment horizontal="left" vertical="center"/>
    </xf>
    <xf numFmtId="0" fontId="27" fillId="3" borderId="63" xfId="0" applyFont="1" applyFill="1" applyBorder="1" applyAlignment="1">
      <alignment horizontal="left" vertical="center"/>
    </xf>
    <xf numFmtId="0" fontId="27" fillId="3" borderId="65" xfId="0" applyFont="1" applyFill="1" applyBorder="1" applyAlignment="1">
      <alignment horizontal="left" vertical="center"/>
    </xf>
    <xf numFmtId="0" fontId="27" fillId="3" borderId="66" xfId="0" applyFont="1" applyFill="1" applyBorder="1" applyAlignment="1">
      <alignment horizontal="left" vertical="center"/>
    </xf>
    <xf numFmtId="0" fontId="27" fillId="3" borderId="67" xfId="0" applyFont="1" applyFill="1" applyBorder="1" applyAlignment="1">
      <alignment horizontal="left" vertical="center"/>
    </xf>
    <xf numFmtId="0" fontId="17" fillId="2" borderId="32" xfId="0" applyFont="1" applyFill="1" applyBorder="1" applyAlignment="1">
      <alignment horizontal="center" vertical="center"/>
    </xf>
    <xf numFmtId="0" fontId="17" fillId="2" borderId="33" xfId="0" applyFont="1" applyFill="1" applyBorder="1" applyAlignment="1">
      <alignment horizontal="center" vertical="center"/>
    </xf>
    <xf numFmtId="0" fontId="28" fillId="3" borderId="2" xfId="0" applyFont="1" applyFill="1" applyBorder="1" applyAlignment="1">
      <alignment horizontal="center" vertical="center"/>
    </xf>
    <xf numFmtId="0" fontId="28" fillId="3" borderId="31" xfId="0" applyFont="1" applyFill="1" applyBorder="1" applyAlignment="1">
      <alignment horizontal="center" vertical="center"/>
    </xf>
    <xf numFmtId="0" fontId="28" fillId="3" borderId="33" xfId="0" applyFont="1" applyFill="1" applyBorder="1" applyAlignment="1">
      <alignment horizontal="center" vertical="center"/>
    </xf>
    <xf numFmtId="0" fontId="28" fillId="3" borderId="34" xfId="0" applyFont="1" applyFill="1" applyBorder="1" applyAlignment="1">
      <alignment horizontal="center" vertical="center"/>
    </xf>
    <xf numFmtId="0" fontId="0" fillId="0" borderId="7" xfId="0" applyBorder="1" applyAlignment="1" applyProtection="1">
      <alignment horizontal="center"/>
      <protection hidden="1"/>
    </xf>
    <xf numFmtId="0" fontId="0" fillId="0" borderId="8" xfId="0" applyBorder="1" applyAlignment="1" applyProtection="1">
      <alignment horizontal="center"/>
      <protection hidden="1"/>
    </xf>
    <xf numFmtId="0" fontId="0" fillId="0" borderId="9"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3"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24" xfId="0" applyBorder="1" applyAlignment="1" applyProtection="1">
      <alignment horizontal="center"/>
      <protection hidden="1"/>
    </xf>
    <xf numFmtId="0" fontId="24" fillId="3" borderId="61" xfId="0" applyFont="1" applyFill="1" applyBorder="1" applyAlignment="1">
      <alignment horizontal="center" vertical="center"/>
    </xf>
    <xf numFmtId="0" fontId="24" fillId="3" borderId="62" xfId="0" applyFont="1" applyFill="1" applyBorder="1" applyAlignment="1">
      <alignment horizontal="center" vertical="center"/>
    </xf>
    <xf numFmtId="0" fontId="24" fillId="3" borderId="63" xfId="0" applyFont="1" applyFill="1" applyBorder="1" applyAlignment="1">
      <alignment horizontal="center" vertical="center"/>
    </xf>
    <xf numFmtId="0" fontId="24" fillId="3" borderId="53" xfId="0" applyFont="1" applyFill="1" applyBorder="1" applyAlignment="1">
      <alignment horizontal="center" vertical="center"/>
    </xf>
    <xf numFmtId="0" fontId="24" fillId="3" borderId="0"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3"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54" xfId="0" applyFont="1" applyFill="1" applyBorder="1" applyAlignment="1">
      <alignment horizontal="center" vertical="center"/>
    </xf>
    <xf numFmtId="0" fontId="23" fillId="3" borderId="64" xfId="0" applyFont="1" applyFill="1" applyBorder="1" applyAlignment="1">
      <alignment horizontal="center" vertical="center"/>
    </xf>
    <xf numFmtId="0" fontId="23" fillId="3" borderId="56" xfId="0" applyFont="1" applyFill="1" applyBorder="1" applyAlignment="1">
      <alignment horizontal="center" vertical="center"/>
    </xf>
    <xf numFmtId="0" fontId="23" fillId="3" borderId="57"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5" xfId="0" applyFont="1" applyFill="1" applyBorder="1" applyAlignment="1">
      <alignment horizontal="center" vertical="center"/>
    </xf>
    <xf numFmtId="0" fontId="8" fillId="8" borderId="26" xfId="0" applyFont="1" applyFill="1" applyBorder="1" applyAlignment="1">
      <alignment horizontal="center" vertical="center"/>
    </xf>
    <xf numFmtId="2" fontId="0" fillId="0" borderId="15" xfId="0" applyNumberFormat="1" applyBorder="1" applyAlignment="1" applyProtection="1">
      <alignment horizontal="center" vertical="center" wrapText="1"/>
      <protection locked="0"/>
    </xf>
    <xf numFmtId="2" fontId="0" fillId="0" borderId="16" xfId="0" applyNumberFormat="1" applyBorder="1" applyAlignment="1" applyProtection="1">
      <alignment horizontal="center" vertical="center" wrapText="1"/>
      <protection locked="0"/>
    </xf>
    <xf numFmtId="0" fontId="9" fillId="0" borderId="17" xfId="0" applyFont="1" applyBorder="1" applyAlignment="1">
      <alignment horizontal="center" vertical="center" wrapText="1"/>
    </xf>
    <xf numFmtId="0" fontId="9" fillId="0" borderId="13" xfId="0" applyFont="1" applyBorder="1" applyAlignment="1">
      <alignment horizontal="center" vertical="center" wrapText="1"/>
    </xf>
    <xf numFmtId="2" fontId="0" fillId="0" borderId="22" xfId="0" applyNumberFormat="1" applyBorder="1" applyAlignment="1" applyProtection="1">
      <alignment horizontal="center" vertical="center" wrapText="1"/>
      <protection locked="0"/>
    </xf>
    <xf numFmtId="167" fontId="0" fillId="0" borderId="50" xfId="0" applyNumberFormat="1" applyBorder="1" applyAlignment="1">
      <alignment horizontal="center" vertical="center" wrapText="1"/>
    </xf>
    <xf numFmtId="167" fontId="0" fillId="0" borderId="39" xfId="0" applyNumberFormat="1" applyBorder="1" applyAlignment="1">
      <alignment horizontal="center" vertical="center" wrapText="1"/>
    </xf>
    <xf numFmtId="167" fontId="0" fillId="0" borderId="40" xfId="0" applyNumberFormat="1" applyBorder="1" applyAlignment="1">
      <alignment horizontal="center" vertical="center" wrapText="1"/>
    </xf>
    <xf numFmtId="167" fontId="0" fillId="0" borderId="16" xfId="0" applyNumberFormat="1" applyBorder="1" applyAlignment="1">
      <alignment horizontal="center" vertical="center" wrapText="1"/>
    </xf>
    <xf numFmtId="167" fontId="0" fillId="0" borderId="7" xfId="0" applyNumberFormat="1" applyBorder="1" applyAlignment="1">
      <alignment horizontal="center" vertical="center" wrapText="1"/>
    </xf>
    <xf numFmtId="167" fontId="0" fillId="0" borderId="10" xfId="0" applyNumberFormat="1" applyBorder="1" applyAlignment="1">
      <alignment horizontal="center" vertical="center" wrapText="1"/>
    </xf>
    <xf numFmtId="167" fontId="0" fillId="0" borderId="19" xfId="0" applyNumberFormat="1" applyBorder="1" applyAlignment="1">
      <alignment horizontal="center" vertical="center" wrapText="1"/>
    </xf>
    <xf numFmtId="167" fontId="0" fillId="0" borderId="41" xfId="0" applyNumberFormat="1" applyBorder="1" applyAlignment="1">
      <alignment horizontal="center" vertical="center" wrapText="1"/>
    </xf>
    <xf numFmtId="167" fontId="0" fillId="0" borderId="8" xfId="0" applyNumberFormat="1" applyBorder="1" applyAlignment="1">
      <alignment horizontal="center" vertical="center" wrapText="1"/>
    </xf>
    <xf numFmtId="167" fontId="0" fillId="0" borderId="3" xfId="0" applyNumberFormat="1" applyBorder="1" applyAlignment="1">
      <alignment horizontal="center" vertical="center" wrapText="1"/>
    </xf>
    <xf numFmtId="167" fontId="0" fillId="0" borderId="20" xfId="0" applyNumberFormat="1" applyBorder="1" applyAlignment="1">
      <alignment horizontal="center" vertical="center" wrapText="1"/>
    </xf>
    <xf numFmtId="167" fontId="0" fillId="0" borderId="4" xfId="0" applyNumberFormat="1" applyBorder="1" applyAlignment="1">
      <alignment horizontal="center" vertical="center" wrapText="1"/>
    </xf>
    <xf numFmtId="167" fontId="8" fillId="0" borderId="27" xfId="0" applyNumberFormat="1" applyFont="1" applyBorder="1" applyAlignment="1">
      <alignment horizontal="center" vertical="center" wrapText="1"/>
    </xf>
    <xf numFmtId="167" fontId="8" fillId="0" borderId="28" xfId="0" applyNumberFormat="1" applyFont="1" applyBorder="1" applyAlignment="1">
      <alignment horizontal="center" vertical="center" wrapText="1"/>
    </xf>
    <xf numFmtId="167" fontId="8" fillId="0" borderId="29" xfId="0" applyNumberFormat="1" applyFont="1" applyBorder="1" applyAlignment="1">
      <alignment horizontal="center" vertical="center" wrapText="1"/>
    </xf>
    <xf numFmtId="167" fontId="8" fillId="0" borderId="7" xfId="0" applyNumberFormat="1" applyFont="1" applyBorder="1" applyAlignment="1">
      <alignment horizontal="center" vertical="center" wrapText="1"/>
    </xf>
    <xf numFmtId="167" fontId="8" fillId="0" borderId="35" xfId="0" applyNumberFormat="1" applyFont="1" applyBorder="1" applyAlignment="1">
      <alignment horizontal="center" vertical="center" wrapText="1"/>
    </xf>
    <xf numFmtId="167" fontId="8" fillId="0" borderId="8" xfId="0" applyNumberFormat="1" applyFont="1" applyBorder="1" applyAlignment="1">
      <alignment horizontal="center" vertical="center" wrapText="1"/>
    </xf>
    <xf numFmtId="167" fontId="8" fillId="0" borderId="4" xfId="0" applyNumberFormat="1" applyFont="1" applyBorder="1" applyAlignment="1">
      <alignment horizontal="center" vertical="center" wrapText="1"/>
    </xf>
    <xf numFmtId="167" fontId="8" fillId="0" borderId="5" xfId="0" applyNumberFormat="1" applyFont="1" applyBorder="1" applyAlignment="1">
      <alignment horizontal="center" vertical="center" wrapText="1"/>
    </xf>
    <xf numFmtId="167" fontId="8" fillId="0" borderId="6" xfId="0" applyNumberFormat="1" applyFont="1" applyBorder="1" applyAlignment="1">
      <alignment horizontal="center" vertical="center" wrapText="1"/>
    </xf>
    <xf numFmtId="167" fontId="8" fillId="0" borderId="36" xfId="0" applyNumberFormat="1" applyFont="1" applyBorder="1" applyAlignment="1">
      <alignment horizontal="center" vertical="center" wrapText="1"/>
    </xf>
    <xf numFmtId="167" fontId="8" fillId="0" borderId="37" xfId="0" applyNumberFormat="1" applyFont="1" applyBorder="1" applyAlignment="1">
      <alignment horizontal="center" vertical="center" wrapText="1"/>
    </xf>
    <xf numFmtId="167" fontId="8" fillId="0" borderId="38" xfId="0" applyNumberFormat="1" applyFont="1" applyBorder="1" applyAlignment="1">
      <alignment horizontal="center" vertical="center" wrapText="1"/>
    </xf>
  </cellXfs>
  <cellStyles count="1">
    <cellStyle name="Normal" xfId="0" builtinId="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C6E6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383220087226479"/>
          <c:y val="6.5445666227166313E-2"/>
          <c:w val="0.60750153783094907"/>
          <c:h val="0.74655269524699497"/>
        </c:manualLayout>
      </c:layout>
      <c:scatterChart>
        <c:scatterStyle val="smoothMarker"/>
        <c:varyColors val="0"/>
        <c:ser>
          <c:idx val="0"/>
          <c:order val="0"/>
          <c:tx>
            <c:strRef>
              <c:f>Graph!$C$4</c:f>
              <c:strCache>
                <c:ptCount val="1"/>
                <c:pt idx="0">
                  <c:v>Fe=1.5</c:v>
                </c:pt>
              </c:strCache>
            </c:strRef>
          </c:tx>
          <c:marker>
            <c:symbol val="none"/>
          </c:marker>
          <c:xVal>
            <c:numRef>
              <c:f>Graph!$B$6:$B$26</c:f>
              <c:numCache>
                <c:formatCode>0</c:formatCode>
                <c:ptCount val="21"/>
                <c:pt idx="0">
                  <c:v>95</c:v>
                </c:pt>
                <c:pt idx="1">
                  <c:v>105</c:v>
                </c:pt>
                <c:pt idx="2">
                  <c:v>115</c:v>
                </c:pt>
                <c:pt idx="3">
                  <c:v>125</c:v>
                </c:pt>
                <c:pt idx="4">
                  <c:v>135</c:v>
                </c:pt>
                <c:pt idx="5">
                  <c:v>145</c:v>
                </c:pt>
                <c:pt idx="6">
                  <c:v>155</c:v>
                </c:pt>
                <c:pt idx="7">
                  <c:v>165</c:v>
                </c:pt>
                <c:pt idx="8">
                  <c:v>175</c:v>
                </c:pt>
                <c:pt idx="9">
                  <c:v>185</c:v>
                </c:pt>
                <c:pt idx="10">
                  <c:v>195</c:v>
                </c:pt>
                <c:pt idx="11">
                  <c:v>205</c:v>
                </c:pt>
                <c:pt idx="12">
                  <c:v>215</c:v>
                </c:pt>
                <c:pt idx="13">
                  <c:v>225</c:v>
                </c:pt>
                <c:pt idx="14">
                  <c:v>235</c:v>
                </c:pt>
                <c:pt idx="15">
                  <c:v>245</c:v>
                </c:pt>
                <c:pt idx="16">
                  <c:v>255</c:v>
                </c:pt>
                <c:pt idx="17">
                  <c:v>265</c:v>
                </c:pt>
                <c:pt idx="18">
                  <c:v>275</c:v>
                </c:pt>
                <c:pt idx="19">
                  <c:v>285</c:v>
                </c:pt>
                <c:pt idx="20">
                  <c:v>295</c:v>
                </c:pt>
              </c:numCache>
            </c:numRef>
          </c:xVal>
          <c:yVal>
            <c:numRef>
              <c:f>Graph!$C$6:$C$26</c:f>
              <c:numCache>
                <c:formatCode>0.00</c:formatCode>
                <c:ptCount val="21"/>
                <c:pt idx="0">
                  <c:v>0.39189386207902022</c:v>
                </c:pt>
                <c:pt idx="1">
                  <c:v>0.29024943310657603</c:v>
                </c:pt>
                <c:pt idx="2">
                  <c:v>0.22092545409714806</c:v>
                </c:pt>
                <c:pt idx="3">
                  <c:v>0.17203200000000002</c:v>
                </c:pt>
                <c:pt idx="4">
                  <c:v>0.13656454808718185</c:v>
                </c:pt>
                <c:pt idx="5">
                  <c:v>0.11021362089466562</c:v>
                </c:pt>
                <c:pt idx="6">
                  <c:v>9.0228592527944684E-2</c:v>
                </c:pt>
                <c:pt idx="7">
                  <c:v>7.4797562400868198E-2</c:v>
                </c:pt>
                <c:pt idx="8">
                  <c:v>6.2693877551020405E-2</c:v>
                </c:pt>
                <c:pt idx="9">
                  <c:v>5.3066945689297776E-2</c:v>
                </c:pt>
                <c:pt idx="10">
                  <c:v>4.5314317503666622E-2</c:v>
                </c:pt>
                <c:pt idx="11">
                  <c:v>3.900117525862945E-2</c:v>
                </c:pt>
                <c:pt idx="12">
                  <c:v>3.3808343919403322E-2</c:v>
                </c:pt>
                <c:pt idx="13">
                  <c:v>2.9497942386831278E-2</c:v>
                </c:pt>
                <c:pt idx="14">
                  <c:v>2.5890217003939394E-2</c:v>
                </c:pt>
                <c:pt idx="15">
                  <c:v>2.2847623014220275E-2</c:v>
                </c:pt>
                <c:pt idx="16">
                  <c:v>2.0263699482099645E-2</c:v>
                </c:pt>
                <c:pt idx="17">
                  <c:v>1.805517306232662E-2</c:v>
                </c:pt>
                <c:pt idx="18">
                  <c:v>1.6156273478587526E-2</c:v>
                </c:pt>
                <c:pt idx="19">
                  <c:v>1.4514587484408158E-2</c:v>
                </c:pt>
                <c:pt idx="20">
                  <c:v>1.308799828609546E-2</c:v>
                </c:pt>
              </c:numCache>
            </c:numRef>
          </c:yVal>
          <c:smooth val="1"/>
        </c:ser>
        <c:ser>
          <c:idx val="1"/>
          <c:order val="1"/>
          <c:tx>
            <c:strRef>
              <c:f>Graph!$D$4</c:f>
              <c:strCache>
                <c:ptCount val="1"/>
                <c:pt idx="0">
                  <c:v>Fe=3</c:v>
                </c:pt>
              </c:strCache>
            </c:strRef>
          </c:tx>
          <c:marker>
            <c:symbol val="none"/>
          </c:marker>
          <c:xVal>
            <c:numRef>
              <c:f>Graph!$B$6:$B$26</c:f>
              <c:numCache>
                <c:formatCode>0</c:formatCode>
                <c:ptCount val="21"/>
                <c:pt idx="0">
                  <c:v>95</c:v>
                </c:pt>
                <c:pt idx="1">
                  <c:v>105</c:v>
                </c:pt>
                <c:pt idx="2">
                  <c:v>115</c:v>
                </c:pt>
                <c:pt idx="3">
                  <c:v>125</c:v>
                </c:pt>
                <c:pt idx="4">
                  <c:v>135</c:v>
                </c:pt>
                <c:pt idx="5">
                  <c:v>145</c:v>
                </c:pt>
                <c:pt idx="6">
                  <c:v>155</c:v>
                </c:pt>
                <c:pt idx="7">
                  <c:v>165</c:v>
                </c:pt>
                <c:pt idx="8">
                  <c:v>175</c:v>
                </c:pt>
                <c:pt idx="9">
                  <c:v>185</c:v>
                </c:pt>
                <c:pt idx="10">
                  <c:v>195</c:v>
                </c:pt>
                <c:pt idx="11">
                  <c:v>205</c:v>
                </c:pt>
                <c:pt idx="12">
                  <c:v>215</c:v>
                </c:pt>
                <c:pt idx="13">
                  <c:v>225</c:v>
                </c:pt>
                <c:pt idx="14">
                  <c:v>235</c:v>
                </c:pt>
                <c:pt idx="15">
                  <c:v>245</c:v>
                </c:pt>
                <c:pt idx="16">
                  <c:v>255</c:v>
                </c:pt>
                <c:pt idx="17">
                  <c:v>265</c:v>
                </c:pt>
                <c:pt idx="18">
                  <c:v>275</c:v>
                </c:pt>
                <c:pt idx="19">
                  <c:v>285</c:v>
                </c:pt>
                <c:pt idx="20">
                  <c:v>295</c:v>
                </c:pt>
              </c:numCache>
            </c:numRef>
          </c:xVal>
          <c:yVal>
            <c:numRef>
              <c:f>Graph!$D$6:$D$26</c:f>
              <c:numCache>
                <c:formatCode>0.00</c:formatCode>
                <c:ptCount val="21"/>
                <c:pt idx="0">
                  <c:v>0.19594693103951011</c:v>
                </c:pt>
                <c:pt idx="1">
                  <c:v>0.14512471655328801</c:v>
                </c:pt>
                <c:pt idx="2">
                  <c:v>0.11046272704857403</c:v>
                </c:pt>
                <c:pt idx="3">
                  <c:v>8.6016000000000009E-2</c:v>
                </c:pt>
                <c:pt idx="4">
                  <c:v>6.8282274043590926E-2</c:v>
                </c:pt>
                <c:pt idx="5">
                  <c:v>5.5106810447332809E-2</c:v>
                </c:pt>
                <c:pt idx="6">
                  <c:v>4.5114296263972342E-2</c:v>
                </c:pt>
                <c:pt idx="7">
                  <c:v>3.7398781200434099E-2</c:v>
                </c:pt>
                <c:pt idx="8">
                  <c:v>3.1346938775510202E-2</c:v>
                </c:pt>
                <c:pt idx="9">
                  <c:v>2.6533472844648888E-2</c:v>
                </c:pt>
                <c:pt idx="10">
                  <c:v>2.2657158751833311E-2</c:v>
                </c:pt>
                <c:pt idx="11">
                  <c:v>1.9500587629314725E-2</c:v>
                </c:pt>
                <c:pt idx="12">
                  <c:v>1.6904171959701661E-2</c:v>
                </c:pt>
                <c:pt idx="13">
                  <c:v>1.4748971193415639E-2</c:v>
                </c:pt>
                <c:pt idx="14">
                  <c:v>1.2945108501969697E-2</c:v>
                </c:pt>
                <c:pt idx="15">
                  <c:v>1.1423811507110138E-2</c:v>
                </c:pt>
                <c:pt idx="16">
                  <c:v>1.0131849741049822E-2</c:v>
                </c:pt>
                <c:pt idx="17">
                  <c:v>9.0275865311633102E-3</c:v>
                </c:pt>
                <c:pt idx="18">
                  <c:v>8.078136739293763E-3</c:v>
                </c:pt>
                <c:pt idx="19">
                  <c:v>7.2572937422040792E-3</c:v>
                </c:pt>
                <c:pt idx="20">
                  <c:v>6.5439991430477299E-3</c:v>
                </c:pt>
              </c:numCache>
            </c:numRef>
          </c:yVal>
          <c:smooth val="1"/>
        </c:ser>
        <c:ser>
          <c:idx val="2"/>
          <c:order val="2"/>
          <c:tx>
            <c:strRef>
              <c:f>Graph!$E$4</c:f>
              <c:strCache>
                <c:ptCount val="1"/>
                <c:pt idx="0">
                  <c:v>External Pressure</c:v>
                </c:pt>
              </c:strCache>
            </c:strRef>
          </c:tx>
          <c:marker>
            <c:symbol val="none"/>
          </c:marker>
          <c:xVal>
            <c:numRef>
              <c:f>Graph!$B$5:$B$26</c:f>
              <c:numCache>
                <c:formatCode>0</c:formatCode>
                <c:ptCount val="22"/>
                <c:pt idx="0" formatCode="0.0000">
                  <c:v>0</c:v>
                </c:pt>
                <c:pt idx="1">
                  <c:v>95</c:v>
                </c:pt>
                <c:pt idx="2">
                  <c:v>105</c:v>
                </c:pt>
                <c:pt idx="3">
                  <c:v>115</c:v>
                </c:pt>
                <c:pt idx="4">
                  <c:v>125</c:v>
                </c:pt>
                <c:pt idx="5">
                  <c:v>135</c:v>
                </c:pt>
                <c:pt idx="6">
                  <c:v>145</c:v>
                </c:pt>
                <c:pt idx="7">
                  <c:v>155</c:v>
                </c:pt>
                <c:pt idx="8">
                  <c:v>165</c:v>
                </c:pt>
                <c:pt idx="9">
                  <c:v>175</c:v>
                </c:pt>
                <c:pt idx="10">
                  <c:v>185</c:v>
                </c:pt>
                <c:pt idx="11">
                  <c:v>195</c:v>
                </c:pt>
                <c:pt idx="12">
                  <c:v>205</c:v>
                </c:pt>
                <c:pt idx="13">
                  <c:v>215</c:v>
                </c:pt>
                <c:pt idx="14">
                  <c:v>225</c:v>
                </c:pt>
                <c:pt idx="15">
                  <c:v>235</c:v>
                </c:pt>
                <c:pt idx="16">
                  <c:v>245</c:v>
                </c:pt>
                <c:pt idx="17">
                  <c:v>255</c:v>
                </c:pt>
                <c:pt idx="18">
                  <c:v>265</c:v>
                </c:pt>
                <c:pt idx="19">
                  <c:v>275</c:v>
                </c:pt>
                <c:pt idx="20">
                  <c:v>285</c:v>
                </c:pt>
                <c:pt idx="21">
                  <c:v>295</c:v>
                </c:pt>
              </c:numCache>
            </c:numRef>
          </c:xVal>
          <c:yVal>
            <c:numRef>
              <c:f>Graph!$E$5:$E$26</c:f>
              <c:numCache>
                <c:formatCode>0.00</c:formatCode>
                <c:ptCount val="22"/>
                <c:pt idx="0">
                  <c:v>0.31</c:v>
                </c:pt>
                <c:pt idx="1">
                  <c:v>0.31</c:v>
                </c:pt>
                <c:pt idx="2">
                  <c:v>0.31</c:v>
                </c:pt>
                <c:pt idx="3">
                  <c:v>0.31</c:v>
                </c:pt>
                <c:pt idx="4">
                  <c:v>0.31</c:v>
                </c:pt>
                <c:pt idx="5">
                  <c:v>0.31</c:v>
                </c:pt>
                <c:pt idx="6">
                  <c:v>0.31</c:v>
                </c:pt>
                <c:pt idx="7">
                  <c:v>0.31</c:v>
                </c:pt>
                <c:pt idx="8">
                  <c:v>0.31</c:v>
                </c:pt>
                <c:pt idx="9">
                  <c:v>0.31</c:v>
                </c:pt>
                <c:pt idx="10">
                  <c:v>0.31</c:v>
                </c:pt>
                <c:pt idx="11">
                  <c:v>0.31</c:v>
                </c:pt>
                <c:pt idx="12">
                  <c:v>0.31</c:v>
                </c:pt>
                <c:pt idx="13">
                  <c:v>0.31</c:v>
                </c:pt>
                <c:pt idx="14">
                  <c:v>0.31</c:v>
                </c:pt>
                <c:pt idx="15">
                  <c:v>0.31</c:v>
                </c:pt>
                <c:pt idx="16">
                  <c:v>0.31</c:v>
                </c:pt>
                <c:pt idx="17">
                  <c:v>0.31</c:v>
                </c:pt>
                <c:pt idx="18">
                  <c:v>0.31</c:v>
                </c:pt>
                <c:pt idx="19">
                  <c:v>0.31</c:v>
                </c:pt>
                <c:pt idx="20">
                  <c:v>0.31</c:v>
                </c:pt>
                <c:pt idx="21">
                  <c:v>0.31</c:v>
                </c:pt>
              </c:numCache>
            </c:numRef>
          </c:yVal>
          <c:smooth val="1"/>
        </c:ser>
        <c:dLbls>
          <c:showLegendKey val="0"/>
          <c:showVal val="0"/>
          <c:showCatName val="0"/>
          <c:showSerName val="0"/>
          <c:showPercent val="0"/>
          <c:showBubbleSize val="0"/>
        </c:dLbls>
        <c:axId val="280063752"/>
        <c:axId val="280061008"/>
      </c:scatterChart>
      <c:valAx>
        <c:axId val="280063752"/>
        <c:scaling>
          <c:orientation val="minMax"/>
        </c:scaling>
        <c:delete val="0"/>
        <c:axPos val="b"/>
        <c:title>
          <c:tx>
            <c:rich>
              <a:bodyPr/>
              <a:lstStyle/>
              <a:p>
                <a:pPr>
                  <a:defRPr/>
                </a:pPr>
                <a:r>
                  <a:rPr lang="en-US"/>
                  <a:t>D/tr </a:t>
                </a:r>
              </a:p>
            </c:rich>
          </c:tx>
          <c:layout/>
          <c:overlay val="0"/>
        </c:title>
        <c:numFmt formatCode="0" sourceLinked="1"/>
        <c:majorTickMark val="none"/>
        <c:minorTickMark val="none"/>
        <c:tickLblPos val="nextTo"/>
        <c:crossAx val="280061008"/>
        <c:crosses val="autoZero"/>
        <c:crossBetween val="midCat"/>
      </c:valAx>
      <c:valAx>
        <c:axId val="280061008"/>
        <c:scaling>
          <c:orientation val="minMax"/>
        </c:scaling>
        <c:delete val="0"/>
        <c:axPos val="l"/>
        <c:title>
          <c:tx>
            <c:rich>
              <a:bodyPr/>
              <a:lstStyle/>
              <a:p>
                <a:pPr>
                  <a:defRPr/>
                </a:pPr>
                <a:r>
                  <a:rPr lang="en-US"/>
                  <a:t>Pressure (MPa)</a:t>
                </a:r>
              </a:p>
            </c:rich>
          </c:tx>
          <c:layout>
            <c:manualLayout>
              <c:xMode val="edge"/>
              <c:yMode val="edge"/>
              <c:x val="3.2515015499130696E-2"/>
              <c:y val="0.29887930900304455"/>
            </c:manualLayout>
          </c:layout>
          <c:overlay val="0"/>
        </c:title>
        <c:numFmt formatCode="0.00" sourceLinked="1"/>
        <c:majorTickMark val="none"/>
        <c:minorTickMark val="none"/>
        <c:tickLblPos val="nextTo"/>
        <c:crossAx val="280063752"/>
        <c:crosses val="autoZero"/>
        <c:crossBetween val="midCat"/>
      </c:valAx>
    </c:plotArea>
    <c:legend>
      <c:legendPos val="r"/>
      <c:layout>
        <c:manualLayout>
          <c:xMode val="edge"/>
          <c:yMode val="edge"/>
          <c:x val="0.70644707353616865"/>
          <c:y val="0.10475076485874113"/>
          <c:w val="0.25364234716302425"/>
          <c:h val="0.36623396735779534"/>
        </c:manualLayout>
      </c:layout>
      <c:overlay val="0"/>
    </c:legend>
    <c:plotVisOnly val="1"/>
    <c:dispBlanksAs val="zero"/>
    <c:showDLblsOverMax val="0"/>
  </c:chart>
  <c:spPr>
    <a:noFill/>
  </c:spPr>
  <c:printSettings>
    <c:headerFooter/>
    <c:pageMargins b="0.75000000000000644" l="0.70000000000000062" r="0.70000000000000062" t="0.750000000000006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762799458826091"/>
          <c:y val="9.8441217279888679E-2"/>
          <c:w val="0.7216350928715487"/>
          <c:h val="0.67973002990725206"/>
        </c:manualLayout>
      </c:layout>
      <c:scatterChart>
        <c:scatterStyle val="smoothMarker"/>
        <c:varyColors val="0"/>
        <c:ser>
          <c:idx val="0"/>
          <c:order val="0"/>
          <c:tx>
            <c:strRef>
              <c:f>Graph!$K$4</c:f>
              <c:strCache>
                <c:ptCount val="1"/>
              </c:strCache>
            </c:strRef>
          </c:tx>
          <c:marker>
            <c:symbol val="none"/>
          </c:marker>
          <c:xVal>
            <c:numRef>
              <c:f>Graph!$G$5:$G$26</c:f>
              <c:numCache>
                <c:formatCode>0.00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xVal>
          <c:yVal>
            <c:numRef>
              <c:f>Graph!$K$5:$K$26</c:f>
              <c:numCache>
                <c:formatCode>0.00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yVal>
          <c:smooth val="1"/>
        </c:ser>
        <c:ser>
          <c:idx val="1"/>
          <c:order val="1"/>
          <c:tx>
            <c:strRef>
              <c:f>Graph!$L$4</c:f>
              <c:strCache>
                <c:ptCount val="1"/>
                <c:pt idx="0">
                  <c:v>Allowable  Load</c:v>
                </c:pt>
              </c:strCache>
            </c:strRef>
          </c:tx>
          <c:marker>
            <c:symbol val="none"/>
          </c:marker>
          <c:xVal>
            <c:numRef>
              <c:f>Graph!$I$5:$I$26</c:f>
              <c:numCache>
                <c:formatCode>0.00</c:formatCode>
                <c:ptCount val="22"/>
                <c:pt idx="0">
                  <c:v>1</c:v>
                </c:pt>
                <c:pt idx="1">
                  <c:v>1.4</c:v>
                </c:pt>
                <c:pt idx="2">
                  <c:v>1.7999999999999998</c:v>
                </c:pt>
                <c:pt idx="3">
                  <c:v>2.1999999999999997</c:v>
                </c:pt>
                <c:pt idx="4">
                  <c:v>2.5999999999999996</c:v>
                </c:pt>
                <c:pt idx="5">
                  <c:v>2.9999999999999996</c:v>
                </c:pt>
                <c:pt idx="6">
                  <c:v>3.3999999999999995</c:v>
                </c:pt>
                <c:pt idx="7">
                  <c:v>3.7999999999999994</c:v>
                </c:pt>
                <c:pt idx="8">
                  <c:v>4.1999999999999993</c:v>
                </c:pt>
                <c:pt idx="9">
                  <c:v>4.5999999999999996</c:v>
                </c:pt>
                <c:pt idx="10">
                  <c:v>5</c:v>
                </c:pt>
                <c:pt idx="11">
                  <c:v>5.4</c:v>
                </c:pt>
                <c:pt idx="12">
                  <c:v>5.8000000000000007</c:v>
                </c:pt>
                <c:pt idx="13">
                  <c:v>6.2000000000000011</c:v>
                </c:pt>
                <c:pt idx="14">
                  <c:v>6.6000000000000014</c:v>
                </c:pt>
                <c:pt idx="15">
                  <c:v>7.0000000000000018</c:v>
                </c:pt>
                <c:pt idx="16">
                  <c:v>7.4000000000000021</c:v>
                </c:pt>
                <c:pt idx="17">
                  <c:v>7.8000000000000025</c:v>
                </c:pt>
                <c:pt idx="18">
                  <c:v>8.2000000000000028</c:v>
                </c:pt>
                <c:pt idx="19">
                  <c:v>8.6000000000000032</c:v>
                </c:pt>
                <c:pt idx="20">
                  <c:v>9.0000000000000036</c:v>
                </c:pt>
                <c:pt idx="21">
                  <c:v>9.4000000000000039</c:v>
                </c:pt>
              </c:numCache>
            </c:numRef>
          </c:xVal>
          <c:yVal>
            <c:numRef>
              <c:f>Graph!$L$5:$L$26</c:f>
              <c:numCache>
                <c:formatCode>0.00</c:formatCode>
                <c:ptCount val="22"/>
                <c:pt idx="0">
                  <c:v>2759.1540340465845</c:v>
                </c:pt>
                <c:pt idx="1">
                  <c:v>1407.7316500237678</c:v>
                </c:pt>
                <c:pt idx="2">
                  <c:v>851.59075124894605</c:v>
                </c:pt>
                <c:pt idx="3">
                  <c:v>570.07314753028606</c:v>
                </c:pt>
                <c:pt idx="4">
                  <c:v>408.15888077612203</c:v>
                </c:pt>
                <c:pt idx="5">
                  <c:v>306.5726704496206</c:v>
                </c:pt>
                <c:pt idx="6">
                  <c:v>238.68114481371839</c:v>
                </c:pt>
                <c:pt idx="7">
                  <c:v>191.07714917220119</c:v>
                </c:pt>
                <c:pt idx="8">
                  <c:v>156.41462778041867</c:v>
                </c:pt>
                <c:pt idx="9">
                  <c:v>130.39480312129416</c:v>
                </c:pt>
                <c:pt idx="10">
                  <c:v>110.36616136186338</c:v>
                </c:pt>
                <c:pt idx="11">
                  <c:v>94.62119458321618</c:v>
                </c:pt>
                <c:pt idx="12">
                  <c:v>82.020036683905573</c:v>
                </c:pt>
                <c:pt idx="13">
                  <c:v>71.778200677590618</c:v>
                </c:pt>
                <c:pt idx="14">
                  <c:v>63.341460836698431</c:v>
                </c:pt>
                <c:pt idx="15">
                  <c:v>56.309266000950672</c:v>
                </c:pt>
                <c:pt idx="16">
                  <c:v>50.386304493180837</c:v>
                </c:pt>
                <c:pt idx="17">
                  <c:v>45.350986752902408</c:v>
                </c:pt>
                <c:pt idx="18">
                  <c:v>41.034414545606516</c:v>
                </c:pt>
                <c:pt idx="19">
                  <c:v>37.306030746979218</c:v>
                </c:pt>
                <c:pt idx="20">
                  <c:v>34.063630049957808</c:v>
                </c:pt>
                <c:pt idx="21">
                  <c:v>31.226279244528993</c:v>
                </c:pt>
              </c:numCache>
            </c:numRef>
          </c:yVal>
          <c:smooth val="1"/>
        </c:ser>
        <c:ser>
          <c:idx val="2"/>
          <c:order val="2"/>
          <c:tx>
            <c:strRef>
              <c:f>Graph!$M$4</c:f>
              <c:strCache>
                <c:ptCount val="1"/>
                <c:pt idx="0">
                  <c:v>Applied  Load</c:v>
                </c:pt>
              </c:strCache>
            </c:strRef>
          </c:tx>
          <c:marker>
            <c:symbol val="none"/>
          </c:marker>
          <c:xVal>
            <c:numRef>
              <c:f>Graph!$G$5:$G$26</c:f>
              <c:numCache>
                <c:formatCode>0.00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xVal>
          <c:yVal>
            <c:numRef>
              <c:f>Graph!$M$5:$M$26</c:f>
              <c:numCache>
                <c:formatCode>0.00</c:formatCode>
                <c:ptCount val="22"/>
                <c:pt idx="0">
                  <c:v>30</c:v>
                </c:pt>
                <c:pt idx="1">
                  <c:v>30</c:v>
                </c:pt>
                <c:pt idx="2">
                  <c:v>30</c:v>
                </c:pt>
                <c:pt idx="3">
                  <c:v>30</c:v>
                </c:pt>
                <c:pt idx="4">
                  <c:v>30</c:v>
                </c:pt>
                <c:pt idx="5">
                  <c:v>30</c:v>
                </c:pt>
                <c:pt idx="6">
                  <c:v>30</c:v>
                </c:pt>
                <c:pt idx="7">
                  <c:v>30</c:v>
                </c:pt>
                <c:pt idx="8">
                  <c:v>30</c:v>
                </c:pt>
                <c:pt idx="9">
                  <c:v>30</c:v>
                </c:pt>
                <c:pt idx="10">
                  <c:v>30</c:v>
                </c:pt>
                <c:pt idx="11">
                  <c:v>30</c:v>
                </c:pt>
                <c:pt idx="12">
                  <c:v>30</c:v>
                </c:pt>
                <c:pt idx="13">
                  <c:v>30</c:v>
                </c:pt>
                <c:pt idx="14">
                  <c:v>30</c:v>
                </c:pt>
                <c:pt idx="15">
                  <c:v>30</c:v>
                </c:pt>
                <c:pt idx="16">
                  <c:v>30</c:v>
                </c:pt>
                <c:pt idx="17">
                  <c:v>30</c:v>
                </c:pt>
                <c:pt idx="18">
                  <c:v>30</c:v>
                </c:pt>
                <c:pt idx="19">
                  <c:v>30</c:v>
                </c:pt>
                <c:pt idx="20">
                  <c:v>30</c:v>
                </c:pt>
                <c:pt idx="21">
                  <c:v>30</c:v>
                </c:pt>
              </c:numCache>
            </c:numRef>
          </c:yVal>
          <c:smooth val="1"/>
        </c:ser>
        <c:ser>
          <c:idx val="3"/>
          <c:order val="3"/>
          <c:tx>
            <c:strRef>
              <c:f>Graph!$M$4</c:f>
              <c:strCache>
                <c:ptCount val="1"/>
                <c:pt idx="0">
                  <c:v>Applied  Load</c:v>
                </c:pt>
              </c:strCache>
            </c:strRef>
          </c:tx>
          <c:marker>
            <c:symbol val="none"/>
          </c:marker>
          <c:xVal>
            <c:numRef>
              <c:f>Graph!$I$5:$I$26</c:f>
              <c:numCache>
                <c:formatCode>0.00</c:formatCode>
                <c:ptCount val="22"/>
                <c:pt idx="0">
                  <c:v>1</c:v>
                </c:pt>
                <c:pt idx="1">
                  <c:v>1.4</c:v>
                </c:pt>
                <c:pt idx="2">
                  <c:v>1.7999999999999998</c:v>
                </c:pt>
                <c:pt idx="3">
                  <c:v>2.1999999999999997</c:v>
                </c:pt>
                <c:pt idx="4">
                  <c:v>2.5999999999999996</c:v>
                </c:pt>
                <c:pt idx="5">
                  <c:v>2.9999999999999996</c:v>
                </c:pt>
                <c:pt idx="6">
                  <c:v>3.3999999999999995</c:v>
                </c:pt>
                <c:pt idx="7">
                  <c:v>3.7999999999999994</c:v>
                </c:pt>
                <c:pt idx="8">
                  <c:v>4.1999999999999993</c:v>
                </c:pt>
                <c:pt idx="9">
                  <c:v>4.5999999999999996</c:v>
                </c:pt>
                <c:pt idx="10">
                  <c:v>5</c:v>
                </c:pt>
                <c:pt idx="11">
                  <c:v>5.4</c:v>
                </c:pt>
                <c:pt idx="12">
                  <c:v>5.8000000000000007</c:v>
                </c:pt>
                <c:pt idx="13">
                  <c:v>6.2000000000000011</c:v>
                </c:pt>
                <c:pt idx="14">
                  <c:v>6.6000000000000014</c:v>
                </c:pt>
                <c:pt idx="15">
                  <c:v>7.0000000000000018</c:v>
                </c:pt>
                <c:pt idx="16">
                  <c:v>7.4000000000000021</c:v>
                </c:pt>
                <c:pt idx="17">
                  <c:v>7.8000000000000025</c:v>
                </c:pt>
                <c:pt idx="18">
                  <c:v>8.2000000000000028</c:v>
                </c:pt>
                <c:pt idx="19">
                  <c:v>8.6000000000000032</c:v>
                </c:pt>
                <c:pt idx="20">
                  <c:v>9.0000000000000036</c:v>
                </c:pt>
                <c:pt idx="21">
                  <c:v>9.4000000000000039</c:v>
                </c:pt>
              </c:numCache>
            </c:numRef>
          </c:xVal>
          <c:yVal>
            <c:numRef>
              <c:f>Graph!$M$5:$M$26</c:f>
              <c:numCache>
                <c:formatCode>0.00</c:formatCode>
                <c:ptCount val="22"/>
                <c:pt idx="0">
                  <c:v>30</c:v>
                </c:pt>
                <c:pt idx="1">
                  <c:v>30</c:v>
                </c:pt>
                <c:pt idx="2">
                  <c:v>30</c:v>
                </c:pt>
                <c:pt idx="3">
                  <c:v>30</c:v>
                </c:pt>
                <c:pt idx="4">
                  <c:v>30</c:v>
                </c:pt>
                <c:pt idx="5">
                  <c:v>30</c:v>
                </c:pt>
                <c:pt idx="6">
                  <c:v>30</c:v>
                </c:pt>
                <c:pt idx="7">
                  <c:v>30</c:v>
                </c:pt>
                <c:pt idx="8">
                  <c:v>30</c:v>
                </c:pt>
                <c:pt idx="9">
                  <c:v>30</c:v>
                </c:pt>
                <c:pt idx="10">
                  <c:v>30</c:v>
                </c:pt>
                <c:pt idx="11">
                  <c:v>30</c:v>
                </c:pt>
                <c:pt idx="12">
                  <c:v>30</c:v>
                </c:pt>
                <c:pt idx="13">
                  <c:v>30</c:v>
                </c:pt>
                <c:pt idx="14">
                  <c:v>30</c:v>
                </c:pt>
                <c:pt idx="15">
                  <c:v>30</c:v>
                </c:pt>
                <c:pt idx="16">
                  <c:v>30</c:v>
                </c:pt>
                <c:pt idx="17">
                  <c:v>30</c:v>
                </c:pt>
                <c:pt idx="18">
                  <c:v>30</c:v>
                </c:pt>
                <c:pt idx="19">
                  <c:v>30</c:v>
                </c:pt>
                <c:pt idx="20">
                  <c:v>30</c:v>
                </c:pt>
                <c:pt idx="21">
                  <c:v>30</c:v>
                </c:pt>
              </c:numCache>
            </c:numRef>
          </c:yVal>
          <c:smooth val="1"/>
        </c:ser>
        <c:dLbls>
          <c:showLegendKey val="0"/>
          <c:showVal val="0"/>
          <c:showCatName val="0"/>
          <c:showSerName val="0"/>
          <c:showPercent val="0"/>
          <c:showBubbleSize val="0"/>
        </c:dLbls>
        <c:axId val="280058656"/>
        <c:axId val="280061792"/>
      </c:scatterChart>
      <c:valAx>
        <c:axId val="280058656"/>
        <c:scaling>
          <c:orientation val="minMax"/>
        </c:scaling>
        <c:delete val="0"/>
        <c:axPos val="b"/>
        <c:title>
          <c:tx>
            <c:rich>
              <a:bodyPr/>
              <a:lstStyle/>
              <a:p>
                <a:pPr>
                  <a:defRPr/>
                </a:pPr>
                <a:r>
                  <a:rPr lang="en-US"/>
                  <a:t>L,</a:t>
                </a:r>
                <a:r>
                  <a:rPr lang="en-US" baseline="0"/>
                  <a:t> m (D, mm)</a:t>
                </a:r>
                <a:endParaRPr lang="en-US"/>
              </a:p>
            </c:rich>
          </c:tx>
          <c:layout>
            <c:manualLayout>
              <c:xMode val="edge"/>
              <c:yMode val="edge"/>
              <c:x val="0.72823774656296458"/>
              <c:y val="0.71296635514620166"/>
            </c:manualLayout>
          </c:layout>
          <c:overlay val="0"/>
        </c:title>
        <c:numFmt formatCode="0.00" sourceLinked="1"/>
        <c:majorTickMark val="none"/>
        <c:minorTickMark val="none"/>
        <c:tickLblPos val="nextTo"/>
        <c:crossAx val="280061792"/>
        <c:crosses val="autoZero"/>
        <c:crossBetween val="midCat"/>
      </c:valAx>
      <c:valAx>
        <c:axId val="280061792"/>
        <c:scaling>
          <c:logBase val="10"/>
          <c:orientation val="minMax"/>
        </c:scaling>
        <c:delete val="0"/>
        <c:axPos val="l"/>
        <c:majorGridlines>
          <c:spPr>
            <a:ln>
              <a:solidFill>
                <a:schemeClr val="bg1"/>
              </a:solidFill>
            </a:ln>
          </c:spPr>
        </c:majorGridlines>
        <c:title>
          <c:tx>
            <c:rich>
              <a:bodyPr/>
              <a:lstStyle/>
              <a:p>
                <a:pPr>
                  <a:defRPr/>
                </a:pPr>
                <a:r>
                  <a:rPr lang="en-US"/>
                  <a:t>Load (KN)</a:t>
                </a:r>
              </a:p>
            </c:rich>
          </c:tx>
          <c:layout>
            <c:manualLayout>
              <c:xMode val="edge"/>
              <c:yMode val="edge"/>
              <c:x val="0.20657611805297321"/>
              <c:y val="1.6270317776625968E-2"/>
            </c:manualLayout>
          </c:layout>
          <c:overlay val="0"/>
        </c:title>
        <c:numFmt formatCode="0.00" sourceLinked="1"/>
        <c:majorTickMark val="none"/>
        <c:minorTickMark val="none"/>
        <c:tickLblPos val="nextTo"/>
        <c:crossAx val="280058656"/>
        <c:crosses val="autoZero"/>
        <c:crossBetween val="midCat"/>
      </c:valAx>
      <c:spPr>
        <a:noFill/>
        <a:ln w="25400">
          <a:noFill/>
        </a:ln>
      </c:spPr>
    </c:plotArea>
    <c:legend>
      <c:legendPos val="r"/>
      <c:layout>
        <c:manualLayout>
          <c:xMode val="edge"/>
          <c:yMode val="edge"/>
          <c:x val="0.14064334889963295"/>
          <c:y val="0.86042552643524262"/>
          <c:w val="0.79049794508270721"/>
          <c:h val="0.13763259471971187"/>
        </c:manualLayout>
      </c:layout>
      <c:overlay val="0"/>
    </c:legend>
    <c:plotVisOnly val="1"/>
    <c:dispBlanksAs val="gap"/>
    <c:showDLblsOverMax val="0"/>
  </c:chart>
  <c:printSettings>
    <c:headerFooter/>
    <c:pageMargins b="0.75000000000000622" l="0.70000000000000062" r="0.70000000000000062" t="0.750000000000006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65611666319003"/>
          <c:y val="4.5392705721009494E-2"/>
          <c:w val="0.77233610831926858"/>
          <c:h val="0.68780498797593259"/>
        </c:manualLayout>
      </c:layout>
      <c:scatterChart>
        <c:scatterStyle val="smoothMarker"/>
        <c:varyColors val="0"/>
        <c:ser>
          <c:idx val="0"/>
          <c:order val="0"/>
          <c:tx>
            <c:strRef>
              <c:f>Graph!$Q$4</c:f>
              <c:strCache>
                <c:ptCount val="1"/>
                <c:pt idx="0">
                  <c:v>Applied stress</c:v>
                </c:pt>
              </c:strCache>
            </c:strRef>
          </c:tx>
          <c:marker>
            <c:symbol val="none"/>
          </c:marker>
          <c:xVal>
            <c:numRef>
              <c:f>Graph!$P$5:$P$26</c:f>
              <c:numCache>
                <c:formatCode>0.00</c:formatCode>
                <c:ptCount val="22"/>
                <c:pt idx="0">
                  <c:v>10</c:v>
                </c:pt>
                <c:pt idx="1">
                  <c:v>15</c:v>
                </c:pt>
                <c:pt idx="2">
                  <c:v>20</c:v>
                </c:pt>
                <c:pt idx="3">
                  <c:v>25</c:v>
                </c:pt>
                <c:pt idx="4">
                  <c:v>30</c:v>
                </c:pt>
                <c:pt idx="5">
                  <c:v>35</c:v>
                </c:pt>
                <c:pt idx="6">
                  <c:v>40</c:v>
                </c:pt>
                <c:pt idx="7">
                  <c:v>45</c:v>
                </c:pt>
                <c:pt idx="8">
                  <c:v>50</c:v>
                </c:pt>
                <c:pt idx="9">
                  <c:v>55</c:v>
                </c:pt>
                <c:pt idx="10">
                  <c:v>60</c:v>
                </c:pt>
                <c:pt idx="11">
                  <c:v>65</c:v>
                </c:pt>
                <c:pt idx="12">
                  <c:v>70</c:v>
                </c:pt>
                <c:pt idx="13">
                  <c:v>75</c:v>
                </c:pt>
                <c:pt idx="14">
                  <c:v>80</c:v>
                </c:pt>
                <c:pt idx="15">
                  <c:v>85</c:v>
                </c:pt>
                <c:pt idx="16">
                  <c:v>90</c:v>
                </c:pt>
                <c:pt idx="17">
                  <c:v>95</c:v>
                </c:pt>
                <c:pt idx="18">
                  <c:v>100</c:v>
                </c:pt>
                <c:pt idx="19">
                  <c:v>105</c:v>
                </c:pt>
                <c:pt idx="20">
                  <c:v>110</c:v>
                </c:pt>
                <c:pt idx="21">
                  <c:v>115</c:v>
                </c:pt>
              </c:numCache>
            </c:numRef>
          </c:xVal>
          <c:yVal>
            <c:numRef>
              <c:f>Graph!$Q$5:$Q$26</c:f>
              <c:numCache>
                <c:formatCode>0.00</c:formatCode>
                <c:ptCount val="22"/>
                <c:pt idx="0">
                  <c:v>3.9774114846961139</c:v>
                </c:pt>
                <c:pt idx="1">
                  <c:v>5.9661172270441707</c:v>
                </c:pt>
                <c:pt idx="2">
                  <c:v>7.9548229693922279</c:v>
                </c:pt>
                <c:pt idx="3">
                  <c:v>9.9435287117402851</c:v>
                </c:pt>
                <c:pt idx="4">
                  <c:v>11.932234454088341</c:v>
                </c:pt>
                <c:pt idx="5">
                  <c:v>13.920940196436399</c:v>
                </c:pt>
                <c:pt idx="6">
                  <c:v>15.909645938784456</c:v>
                </c:pt>
                <c:pt idx="7">
                  <c:v>17.898351681132514</c:v>
                </c:pt>
                <c:pt idx="8">
                  <c:v>19.88705742348057</c:v>
                </c:pt>
                <c:pt idx="9">
                  <c:v>21.875763165828626</c:v>
                </c:pt>
                <c:pt idx="10">
                  <c:v>23.864468908176683</c:v>
                </c:pt>
                <c:pt idx="11">
                  <c:v>25.853174650524743</c:v>
                </c:pt>
                <c:pt idx="12">
                  <c:v>27.841880392872799</c:v>
                </c:pt>
                <c:pt idx="13">
                  <c:v>29.830586135220855</c:v>
                </c:pt>
                <c:pt idx="14">
                  <c:v>31.819291877568912</c:v>
                </c:pt>
                <c:pt idx="15">
                  <c:v>33.807997619916968</c:v>
                </c:pt>
                <c:pt idx="16">
                  <c:v>35.796703362265028</c:v>
                </c:pt>
                <c:pt idx="17">
                  <c:v>37.78540910461308</c:v>
                </c:pt>
                <c:pt idx="18">
                  <c:v>39.77411484696114</c:v>
                </c:pt>
                <c:pt idx="19">
                  <c:v>41.7628205893092</c:v>
                </c:pt>
                <c:pt idx="20">
                  <c:v>43.751526331657253</c:v>
                </c:pt>
                <c:pt idx="21">
                  <c:v>45.740232074005313</c:v>
                </c:pt>
              </c:numCache>
            </c:numRef>
          </c:yVal>
          <c:smooth val="1"/>
        </c:ser>
        <c:ser>
          <c:idx val="1"/>
          <c:order val="1"/>
          <c:tx>
            <c:strRef>
              <c:f>Graph!$U$4</c:f>
              <c:strCache>
                <c:ptCount val="1"/>
              </c:strCache>
            </c:strRef>
          </c:tx>
          <c:marker>
            <c:symbol val="none"/>
          </c:marker>
          <c:xVal>
            <c:numRef>
              <c:f>Graph!$S$5:$S$26</c:f>
              <c:numCache>
                <c:formatCode>0.0000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xVal>
          <c:yVal>
            <c:numRef>
              <c:f>Graph!$U$5:$U$26</c:f>
              <c:numCache>
                <c:formatCode>0.00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yVal>
          <c:smooth val="1"/>
        </c:ser>
        <c:ser>
          <c:idx val="2"/>
          <c:order val="2"/>
          <c:tx>
            <c:strRef>
              <c:f>Graph!$V$4</c:f>
              <c:strCache>
                <c:ptCount val="1"/>
                <c:pt idx="0">
                  <c:v>Allowable Stress</c:v>
                </c:pt>
              </c:strCache>
            </c:strRef>
          </c:tx>
          <c:marker>
            <c:symbol val="none"/>
          </c:marker>
          <c:xVal>
            <c:numRef>
              <c:f>Graph!$P$5:$P$26</c:f>
              <c:numCache>
                <c:formatCode>0.00</c:formatCode>
                <c:ptCount val="22"/>
                <c:pt idx="0">
                  <c:v>10</c:v>
                </c:pt>
                <c:pt idx="1">
                  <c:v>15</c:v>
                </c:pt>
                <c:pt idx="2">
                  <c:v>20</c:v>
                </c:pt>
                <c:pt idx="3">
                  <c:v>25</c:v>
                </c:pt>
                <c:pt idx="4">
                  <c:v>30</c:v>
                </c:pt>
                <c:pt idx="5">
                  <c:v>35</c:v>
                </c:pt>
                <c:pt idx="6">
                  <c:v>40</c:v>
                </c:pt>
                <c:pt idx="7">
                  <c:v>45</c:v>
                </c:pt>
                <c:pt idx="8">
                  <c:v>50</c:v>
                </c:pt>
                <c:pt idx="9">
                  <c:v>55</c:v>
                </c:pt>
                <c:pt idx="10">
                  <c:v>60</c:v>
                </c:pt>
                <c:pt idx="11">
                  <c:v>65</c:v>
                </c:pt>
                <c:pt idx="12">
                  <c:v>70</c:v>
                </c:pt>
                <c:pt idx="13">
                  <c:v>75</c:v>
                </c:pt>
                <c:pt idx="14">
                  <c:v>80</c:v>
                </c:pt>
                <c:pt idx="15">
                  <c:v>85</c:v>
                </c:pt>
                <c:pt idx="16">
                  <c:v>90</c:v>
                </c:pt>
                <c:pt idx="17">
                  <c:v>95</c:v>
                </c:pt>
                <c:pt idx="18">
                  <c:v>100</c:v>
                </c:pt>
                <c:pt idx="19">
                  <c:v>105</c:v>
                </c:pt>
                <c:pt idx="20">
                  <c:v>110</c:v>
                </c:pt>
                <c:pt idx="21">
                  <c:v>115</c:v>
                </c:pt>
              </c:numCache>
            </c:numRef>
          </c:xVal>
          <c:yVal>
            <c:numRef>
              <c:f>Graph!$V$5:$V$26</c:f>
              <c:numCache>
                <c:formatCode>0.00</c:formatCode>
                <c:ptCount val="22"/>
                <c:pt idx="0">
                  <c:v>22.863106131380203</c:v>
                </c:pt>
                <c:pt idx="1">
                  <c:v>22.863106131380203</c:v>
                </c:pt>
                <c:pt idx="2">
                  <c:v>22.863106131380203</c:v>
                </c:pt>
                <c:pt idx="3">
                  <c:v>22.863106131380203</c:v>
                </c:pt>
                <c:pt idx="4">
                  <c:v>22.863106131380203</c:v>
                </c:pt>
                <c:pt idx="5">
                  <c:v>22.863106131380203</c:v>
                </c:pt>
                <c:pt idx="6">
                  <c:v>22.863106131380203</c:v>
                </c:pt>
                <c:pt idx="7">
                  <c:v>22.863106131380203</c:v>
                </c:pt>
                <c:pt idx="8">
                  <c:v>22.863106131380203</c:v>
                </c:pt>
                <c:pt idx="9">
                  <c:v>22.863106131380203</c:v>
                </c:pt>
                <c:pt idx="10">
                  <c:v>22.863106131380203</c:v>
                </c:pt>
                <c:pt idx="11">
                  <c:v>22.863106131380203</c:v>
                </c:pt>
                <c:pt idx="12">
                  <c:v>22.863106131380203</c:v>
                </c:pt>
                <c:pt idx="13">
                  <c:v>22.863106131380203</c:v>
                </c:pt>
                <c:pt idx="14">
                  <c:v>22.863106131380203</c:v>
                </c:pt>
                <c:pt idx="15">
                  <c:v>22.863106131380203</c:v>
                </c:pt>
                <c:pt idx="16">
                  <c:v>22.863106131380203</c:v>
                </c:pt>
                <c:pt idx="17">
                  <c:v>22.863106131380203</c:v>
                </c:pt>
                <c:pt idx="18">
                  <c:v>22.863106131380203</c:v>
                </c:pt>
                <c:pt idx="19">
                  <c:v>22.863106131380203</c:v>
                </c:pt>
                <c:pt idx="20">
                  <c:v>22.863106131380203</c:v>
                </c:pt>
                <c:pt idx="21">
                  <c:v>22.863106131380203</c:v>
                </c:pt>
              </c:numCache>
            </c:numRef>
          </c:yVal>
          <c:smooth val="1"/>
        </c:ser>
        <c:ser>
          <c:idx val="3"/>
          <c:order val="3"/>
          <c:tx>
            <c:strRef>
              <c:f>Graph!$V$4</c:f>
              <c:strCache>
                <c:ptCount val="1"/>
                <c:pt idx="0">
                  <c:v>Allowable Stress</c:v>
                </c:pt>
              </c:strCache>
            </c:strRef>
          </c:tx>
          <c:marker>
            <c:symbol val="none"/>
          </c:marker>
          <c:xVal>
            <c:numRef>
              <c:f>Graph!$S$5:$S$26</c:f>
              <c:numCache>
                <c:formatCode>0.0000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xVal>
          <c:yVal>
            <c:numRef>
              <c:f>Graph!$V$5:$V$26</c:f>
              <c:numCache>
                <c:formatCode>0.00</c:formatCode>
                <c:ptCount val="22"/>
                <c:pt idx="0">
                  <c:v>22.863106131380203</c:v>
                </c:pt>
                <c:pt idx="1">
                  <c:v>22.863106131380203</c:v>
                </c:pt>
                <c:pt idx="2">
                  <c:v>22.863106131380203</c:v>
                </c:pt>
                <c:pt idx="3">
                  <c:v>22.863106131380203</c:v>
                </c:pt>
                <c:pt idx="4">
                  <c:v>22.863106131380203</c:v>
                </c:pt>
                <c:pt idx="5">
                  <c:v>22.863106131380203</c:v>
                </c:pt>
                <c:pt idx="6">
                  <c:v>22.863106131380203</c:v>
                </c:pt>
                <c:pt idx="7">
                  <c:v>22.863106131380203</c:v>
                </c:pt>
                <c:pt idx="8">
                  <c:v>22.863106131380203</c:v>
                </c:pt>
                <c:pt idx="9">
                  <c:v>22.863106131380203</c:v>
                </c:pt>
                <c:pt idx="10">
                  <c:v>22.863106131380203</c:v>
                </c:pt>
                <c:pt idx="11">
                  <c:v>22.863106131380203</c:v>
                </c:pt>
                <c:pt idx="12">
                  <c:v>22.863106131380203</c:v>
                </c:pt>
                <c:pt idx="13">
                  <c:v>22.863106131380203</c:v>
                </c:pt>
                <c:pt idx="14">
                  <c:v>22.863106131380203</c:v>
                </c:pt>
                <c:pt idx="15">
                  <c:v>22.863106131380203</c:v>
                </c:pt>
                <c:pt idx="16">
                  <c:v>22.863106131380203</c:v>
                </c:pt>
                <c:pt idx="17">
                  <c:v>22.863106131380203</c:v>
                </c:pt>
                <c:pt idx="18">
                  <c:v>22.863106131380203</c:v>
                </c:pt>
                <c:pt idx="19">
                  <c:v>22.863106131380203</c:v>
                </c:pt>
                <c:pt idx="20">
                  <c:v>22.863106131380203</c:v>
                </c:pt>
                <c:pt idx="21">
                  <c:v>22.863106131380203</c:v>
                </c:pt>
              </c:numCache>
            </c:numRef>
          </c:yVal>
          <c:smooth val="1"/>
        </c:ser>
        <c:dLbls>
          <c:showLegendKey val="0"/>
          <c:showVal val="0"/>
          <c:showCatName val="0"/>
          <c:showSerName val="0"/>
          <c:showPercent val="0"/>
          <c:showBubbleSize val="0"/>
        </c:dLbls>
        <c:axId val="280062968"/>
        <c:axId val="280059832"/>
      </c:scatterChart>
      <c:valAx>
        <c:axId val="280062968"/>
        <c:scaling>
          <c:orientation val="minMax"/>
        </c:scaling>
        <c:delete val="0"/>
        <c:axPos val="b"/>
        <c:title>
          <c:tx>
            <c:rich>
              <a:bodyPr/>
              <a:lstStyle/>
              <a:p>
                <a:pPr>
                  <a:defRPr/>
                </a:pPr>
                <a:r>
                  <a:rPr lang="en-US"/>
                  <a:t>L,m (T, C)</a:t>
                </a:r>
              </a:p>
            </c:rich>
          </c:tx>
          <c:layout>
            <c:manualLayout>
              <c:xMode val="edge"/>
              <c:yMode val="edge"/>
              <c:x val="0.78717532980612959"/>
              <c:y val="0.66390429679326313"/>
            </c:manualLayout>
          </c:layout>
          <c:overlay val="0"/>
        </c:title>
        <c:numFmt formatCode="0.00" sourceLinked="1"/>
        <c:majorTickMark val="none"/>
        <c:minorTickMark val="none"/>
        <c:tickLblPos val="nextTo"/>
        <c:crossAx val="280059832"/>
        <c:crosses val="autoZero"/>
        <c:crossBetween val="midCat"/>
      </c:valAx>
      <c:valAx>
        <c:axId val="280059832"/>
        <c:scaling>
          <c:orientation val="minMax"/>
        </c:scaling>
        <c:delete val="0"/>
        <c:axPos val="l"/>
        <c:title>
          <c:tx>
            <c:rich>
              <a:bodyPr/>
              <a:lstStyle/>
              <a:p>
                <a:pPr>
                  <a:defRPr/>
                </a:pPr>
                <a:r>
                  <a:rPr lang="en-US"/>
                  <a:t>Euler Stress (MPa)</a:t>
                </a:r>
              </a:p>
            </c:rich>
          </c:tx>
          <c:layout>
            <c:manualLayout>
              <c:xMode val="edge"/>
              <c:yMode val="edge"/>
              <c:x val="0.16457120462202671"/>
              <c:y val="5.5481332916971441E-3"/>
            </c:manualLayout>
          </c:layout>
          <c:overlay val="0"/>
        </c:title>
        <c:numFmt formatCode="0.00" sourceLinked="1"/>
        <c:majorTickMark val="none"/>
        <c:minorTickMark val="none"/>
        <c:tickLblPos val="nextTo"/>
        <c:crossAx val="280062968"/>
        <c:crosses val="autoZero"/>
        <c:crossBetween val="midCat"/>
      </c:valAx>
      <c:spPr>
        <a:solidFill>
          <a:schemeClr val="bg1"/>
        </a:solidFill>
      </c:spPr>
    </c:plotArea>
    <c:legend>
      <c:legendPos val="r"/>
      <c:layout>
        <c:manualLayout>
          <c:xMode val="edge"/>
          <c:yMode val="edge"/>
          <c:x val="5.6549030019153075E-2"/>
          <c:y val="0.80937040244409375"/>
          <c:w val="0.84711660629966068"/>
          <c:h val="0.1662521287589295"/>
        </c:manualLayout>
      </c:layout>
      <c:overlay val="0"/>
    </c:legend>
    <c:plotVisOnly val="1"/>
    <c:dispBlanksAs val="gap"/>
    <c:showDLblsOverMax val="0"/>
  </c:chart>
  <c:printSettings>
    <c:headerFooter/>
    <c:pageMargins b="0.75000000000000644" l="0.70000000000000062" r="0.70000000000000062" t="0.750000000000006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08822488690441"/>
          <c:y val="4.5229523746285846E-2"/>
          <c:w val="0.7240889278171555"/>
          <c:h val="0.81928912386522756"/>
        </c:manualLayout>
      </c:layout>
      <c:scatterChart>
        <c:scatterStyle val="smoothMarker"/>
        <c:varyColors val="0"/>
        <c:ser>
          <c:idx val="0"/>
          <c:order val="0"/>
          <c:tx>
            <c:strRef>
              <c:f>Graph!$Z$4</c:f>
              <c:strCache>
                <c:ptCount val="1"/>
                <c:pt idx="0">
                  <c:v>allowable Shell Buckling stress</c:v>
                </c:pt>
              </c:strCache>
            </c:strRef>
          </c:tx>
          <c:marker>
            <c:symbol val="none"/>
          </c:marker>
          <c:xVal>
            <c:numRef>
              <c:f>Graph!$X$6:$X$26</c:f>
              <c:numCache>
                <c:formatCode>0</c:formatCode>
                <c:ptCount val="21"/>
                <c:pt idx="0">
                  <c:v>95</c:v>
                </c:pt>
                <c:pt idx="1">
                  <c:v>105</c:v>
                </c:pt>
                <c:pt idx="2">
                  <c:v>115</c:v>
                </c:pt>
                <c:pt idx="3">
                  <c:v>125</c:v>
                </c:pt>
                <c:pt idx="4">
                  <c:v>135</c:v>
                </c:pt>
                <c:pt idx="5">
                  <c:v>145</c:v>
                </c:pt>
                <c:pt idx="6">
                  <c:v>155</c:v>
                </c:pt>
                <c:pt idx="7">
                  <c:v>165</c:v>
                </c:pt>
                <c:pt idx="8">
                  <c:v>175</c:v>
                </c:pt>
                <c:pt idx="9">
                  <c:v>185</c:v>
                </c:pt>
                <c:pt idx="10">
                  <c:v>195</c:v>
                </c:pt>
                <c:pt idx="11">
                  <c:v>205</c:v>
                </c:pt>
                <c:pt idx="12">
                  <c:v>215</c:v>
                </c:pt>
                <c:pt idx="13">
                  <c:v>225</c:v>
                </c:pt>
                <c:pt idx="14">
                  <c:v>235</c:v>
                </c:pt>
                <c:pt idx="15">
                  <c:v>245</c:v>
                </c:pt>
                <c:pt idx="16">
                  <c:v>255</c:v>
                </c:pt>
                <c:pt idx="17">
                  <c:v>265</c:v>
                </c:pt>
                <c:pt idx="18">
                  <c:v>275</c:v>
                </c:pt>
                <c:pt idx="19">
                  <c:v>285</c:v>
                </c:pt>
                <c:pt idx="20">
                  <c:v>295</c:v>
                </c:pt>
              </c:numCache>
            </c:numRef>
          </c:xVal>
          <c:yVal>
            <c:numRef>
              <c:f>Graph!$Z$6:$Z$26</c:f>
              <c:numCache>
                <c:formatCode>0.00</c:formatCode>
                <c:ptCount val="21"/>
                <c:pt idx="0">
                  <c:v>181.04200556641948</c:v>
                </c:pt>
                <c:pt idx="1">
                  <c:v>158.28354704488621</c:v>
                </c:pt>
                <c:pt idx="2">
                  <c:v>140.05363096479115</c:v>
                </c:pt>
                <c:pt idx="3">
                  <c:v>125.17324556384827</c:v>
                </c:pt>
                <c:pt idx="4">
                  <c:v>112.83231890883987</c:v>
                </c:pt>
                <c:pt idx="5">
                  <c:v>102.45743897340938</c:v>
                </c:pt>
                <c:pt idx="6">
                  <c:v>93.632289540223539</c:v>
                </c:pt>
                <c:pt idx="7">
                  <c:v>86.047931605430279</c:v>
                </c:pt>
                <c:pt idx="8">
                  <c:v>79.470701082750566</c:v>
                </c:pt>
                <c:pt idx="9">
                  <c:v>73.720883971064495</c:v>
                </c:pt>
                <c:pt idx="10">
                  <c:v>68.658193879542708</c:v>
                </c:pt>
                <c:pt idx="11">
                  <c:v>64.171662169884044</c:v>
                </c:pt>
                <c:pt idx="12">
                  <c:v>60.172460800067519</c:v>
                </c:pt>
                <c:pt idx="13">
                  <c:v>56.588716937109915</c:v>
                </c:pt>
                <c:pt idx="14">
                  <c:v>53.361706844616961</c:v>
                </c:pt>
                <c:pt idx="15">
                  <c:v>50.44302181438097</c:v>
                </c:pt>
                <c:pt idx="16">
                  <c:v>47.792430149810244</c:v>
                </c:pt>
                <c:pt idx="17">
                  <c:v>45.376244867806868</c:v>
                </c:pt>
                <c:pt idx="18">
                  <c:v>43.166063754991278</c:v>
                </c:pt>
                <c:pt idx="19">
                  <c:v>41.137786959238198</c:v>
                </c:pt>
                <c:pt idx="20">
                  <c:v>39.270843791344113</c:v>
                </c:pt>
              </c:numCache>
            </c:numRef>
          </c:yVal>
          <c:smooth val="1"/>
        </c:ser>
        <c:ser>
          <c:idx val="1"/>
          <c:order val="1"/>
          <c:tx>
            <c:strRef>
              <c:f>Graph!$AA$4</c:f>
              <c:strCache>
                <c:ptCount val="1"/>
                <c:pt idx="0">
                  <c:v>Axial Compressive Stress</c:v>
                </c:pt>
              </c:strCache>
            </c:strRef>
          </c:tx>
          <c:marker>
            <c:symbol val="none"/>
          </c:marker>
          <c:xVal>
            <c:numRef>
              <c:f>Graph!$X$6:$X$26</c:f>
              <c:numCache>
                <c:formatCode>0</c:formatCode>
                <c:ptCount val="21"/>
                <c:pt idx="0">
                  <c:v>95</c:v>
                </c:pt>
                <c:pt idx="1">
                  <c:v>105</c:v>
                </c:pt>
                <c:pt idx="2">
                  <c:v>115</c:v>
                </c:pt>
                <c:pt idx="3">
                  <c:v>125</c:v>
                </c:pt>
                <c:pt idx="4">
                  <c:v>135</c:v>
                </c:pt>
                <c:pt idx="5">
                  <c:v>145</c:v>
                </c:pt>
                <c:pt idx="6">
                  <c:v>155</c:v>
                </c:pt>
                <c:pt idx="7">
                  <c:v>165</c:v>
                </c:pt>
                <c:pt idx="8">
                  <c:v>175</c:v>
                </c:pt>
                <c:pt idx="9">
                  <c:v>185</c:v>
                </c:pt>
                <c:pt idx="10">
                  <c:v>195</c:v>
                </c:pt>
                <c:pt idx="11">
                  <c:v>205</c:v>
                </c:pt>
                <c:pt idx="12">
                  <c:v>215</c:v>
                </c:pt>
                <c:pt idx="13">
                  <c:v>225</c:v>
                </c:pt>
                <c:pt idx="14">
                  <c:v>235</c:v>
                </c:pt>
                <c:pt idx="15">
                  <c:v>245</c:v>
                </c:pt>
                <c:pt idx="16">
                  <c:v>255</c:v>
                </c:pt>
                <c:pt idx="17">
                  <c:v>265</c:v>
                </c:pt>
                <c:pt idx="18">
                  <c:v>275</c:v>
                </c:pt>
                <c:pt idx="19">
                  <c:v>285</c:v>
                </c:pt>
                <c:pt idx="20">
                  <c:v>295</c:v>
                </c:pt>
              </c:numCache>
            </c:numRef>
          </c:xVal>
          <c:yVal>
            <c:numRef>
              <c:f>Graph!$AA$6:$AA$26</c:f>
              <c:numCache>
                <c:formatCode>0.00</c:formatCode>
                <c:ptCount val="21"/>
                <c:pt idx="0">
                  <c:v>13.500000000000002</c:v>
                </c:pt>
                <c:pt idx="1">
                  <c:v>13.500000000000002</c:v>
                </c:pt>
                <c:pt idx="2">
                  <c:v>13.500000000000002</c:v>
                </c:pt>
                <c:pt idx="3">
                  <c:v>13.500000000000002</c:v>
                </c:pt>
                <c:pt idx="4">
                  <c:v>13.500000000000002</c:v>
                </c:pt>
                <c:pt idx="5">
                  <c:v>13.500000000000002</c:v>
                </c:pt>
                <c:pt idx="6">
                  <c:v>13.500000000000002</c:v>
                </c:pt>
                <c:pt idx="7">
                  <c:v>13.500000000000002</c:v>
                </c:pt>
                <c:pt idx="8">
                  <c:v>13.500000000000002</c:v>
                </c:pt>
                <c:pt idx="9">
                  <c:v>13.500000000000002</c:v>
                </c:pt>
                <c:pt idx="10">
                  <c:v>13.500000000000002</c:v>
                </c:pt>
                <c:pt idx="11">
                  <c:v>13.500000000000002</c:v>
                </c:pt>
                <c:pt idx="12">
                  <c:v>13.500000000000002</c:v>
                </c:pt>
                <c:pt idx="13">
                  <c:v>13.500000000000002</c:v>
                </c:pt>
                <c:pt idx="14">
                  <c:v>13.500000000000002</c:v>
                </c:pt>
                <c:pt idx="15">
                  <c:v>13.500000000000002</c:v>
                </c:pt>
                <c:pt idx="16">
                  <c:v>13.500000000000002</c:v>
                </c:pt>
                <c:pt idx="17">
                  <c:v>13.500000000000002</c:v>
                </c:pt>
                <c:pt idx="18">
                  <c:v>13.500000000000002</c:v>
                </c:pt>
                <c:pt idx="19">
                  <c:v>13.500000000000002</c:v>
                </c:pt>
                <c:pt idx="20">
                  <c:v>13.500000000000002</c:v>
                </c:pt>
              </c:numCache>
            </c:numRef>
          </c:yVal>
          <c:smooth val="1"/>
        </c:ser>
        <c:dLbls>
          <c:showLegendKey val="0"/>
          <c:showVal val="0"/>
          <c:showCatName val="0"/>
          <c:showSerName val="0"/>
          <c:showPercent val="0"/>
          <c:showBubbleSize val="0"/>
        </c:dLbls>
        <c:axId val="280065320"/>
        <c:axId val="280065712"/>
      </c:scatterChart>
      <c:valAx>
        <c:axId val="280065320"/>
        <c:scaling>
          <c:orientation val="minMax"/>
        </c:scaling>
        <c:delete val="0"/>
        <c:axPos val="b"/>
        <c:title>
          <c:tx>
            <c:rich>
              <a:bodyPr/>
              <a:lstStyle/>
              <a:p>
                <a:pPr>
                  <a:defRPr/>
                </a:pPr>
                <a:r>
                  <a:rPr lang="en-US"/>
                  <a:t>D/tr</a:t>
                </a:r>
              </a:p>
            </c:rich>
          </c:tx>
          <c:layout/>
          <c:overlay val="0"/>
        </c:title>
        <c:numFmt formatCode="0" sourceLinked="1"/>
        <c:majorTickMark val="none"/>
        <c:minorTickMark val="none"/>
        <c:tickLblPos val="nextTo"/>
        <c:crossAx val="280065712"/>
        <c:crosses val="autoZero"/>
        <c:crossBetween val="midCat"/>
      </c:valAx>
      <c:valAx>
        <c:axId val="280065712"/>
        <c:scaling>
          <c:orientation val="minMax"/>
        </c:scaling>
        <c:delete val="0"/>
        <c:axPos val="l"/>
        <c:title>
          <c:tx>
            <c:rich>
              <a:bodyPr/>
              <a:lstStyle/>
              <a:p>
                <a:pPr>
                  <a:defRPr/>
                </a:pPr>
                <a:r>
                  <a:rPr lang="en-US"/>
                  <a:t>Shell Buckling Stress (MPa)</a:t>
                </a:r>
              </a:p>
            </c:rich>
          </c:tx>
          <c:layout/>
          <c:overlay val="0"/>
        </c:title>
        <c:numFmt formatCode="0.00" sourceLinked="1"/>
        <c:majorTickMark val="none"/>
        <c:minorTickMark val="none"/>
        <c:tickLblPos val="nextTo"/>
        <c:crossAx val="280065320"/>
        <c:crosses val="autoZero"/>
        <c:crossBetween val="midCat"/>
      </c:valAx>
    </c:plotArea>
    <c:legend>
      <c:legendPos val="r"/>
      <c:layout>
        <c:manualLayout>
          <c:xMode val="edge"/>
          <c:yMode val="edge"/>
          <c:x val="0.57229978785152469"/>
          <c:y val="8.0059933080500717E-2"/>
          <c:w val="0.35918434702857288"/>
          <c:h val="0.29432743208690881"/>
        </c:manualLayout>
      </c:layout>
      <c:overlay val="0"/>
    </c:legend>
    <c:plotVisOnly val="1"/>
    <c:dispBlanksAs val="gap"/>
    <c:showDLblsOverMax val="0"/>
  </c:chart>
  <c:printSettings>
    <c:headerFooter/>
    <c:pageMargins b="0.75000000000000644" l="0.70000000000000062" r="0.70000000000000062" t="0.750000000000006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132845370953931"/>
          <c:y val="3.8521758064388345E-2"/>
          <c:w val="0.73916209290057899"/>
          <c:h val="0.72465201822463265"/>
        </c:manualLayout>
      </c:layout>
      <c:scatterChart>
        <c:scatterStyle val="smoothMarker"/>
        <c:varyColors val="0"/>
        <c:ser>
          <c:idx val="0"/>
          <c:order val="0"/>
          <c:tx>
            <c:strRef>
              <c:f>Graph!$AI$3</c:f>
              <c:strCache>
                <c:ptCount val="1"/>
                <c:pt idx="0">
                  <c:v>Local Hoop Stress </c:v>
                </c:pt>
              </c:strCache>
            </c:strRef>
          </c:tx>
          <c:marker>
            <c:symbol val="none"/>
          </c:marker>
          <c:xVal>
            <c:numRef>
              <c:f>Graph!$AC$5:$AC$9</c:f>
              <c:numCache>
                <c:formatCode>General</c:formatCode>
                <c:ptCount val="5"/>
                <c:pt idx="0">
                  <c:v>120</c:v>
                </c:pt>
                <c:pt idx="1">
                  <c:v>135</c:v>
                </c:pt>
                <c:pt idx="2">
                  <c:v>150</c:v>
                </c:pt>
                <c:pt idx="3">
                  <c:v>165</c:v>
                </c:pt>
                <c:pt idx="4">
                  <c:v>180</c:v>
                </c:pt>
              </c:numCache>
            </c:numRef>
          </c:xVal>
          <c:yVal>
            <c:numRef>
              <c:f>Graph!$AK$5:$AK$9</c:f>
              <c:numCache>
                <c:formatCode>0.00</c:formatCode>
                <c:ptCount val="5"/>
                <c:pt idx="0">
                  <c:v>61.26061326982186</c:v>
                </c:pt>
                <c:pt idx="1">
                  <c:v>56.788847061445367</c:v>
                </c:pt>
                <c:pt idx="2">
                  <c:v>53.094779324090865</c:v>
                </c:pt>
                <c:pt idx="3">
                  <c:v>49.983985440002868</c:v>
                </c:pt>
                <c:pt idx="4">
                  <c:v>47.495350332732471</c:v>
                </c:pt>
              </c:numCache>
            </c:numRef>
          </c:yVal>
          <c:smooth val="1"/>
        </c:ser>
        <c:ser>
          <c:idx val="1"/>
          <c:order val="1"/>
          <c:tx>
            <c:strRef>
              <c:f>Graph!$AL$3</c:f>
              <c:strCache>
                <c:ptCount val="1"/>
                <c:pt idx="0">
                  <c:v>Local Axial Stress</c:v>
                </c:pt>
              </c:strCache>
            </c:strRef>
          </c:tx>
          <c:marker>
            <c:symbol val="none"/>
          </c:marker>
          <c:xVal>
            <c:numRef>
              <c:f>Graph!$AC$5:$AC$9</c:f>
              <c:numCache>
                <c:formatCode>General</c:formatCode>
                <c:ptCount val="5"/>
                <c:pt idx="0">
                  <c:v>120</c:v>
                </c:pt>
                <c:pt idx="1">
                  <c:v>135</c:v>
                </c:pt>
                <c:pt idx="2">
                  <c:v>150</c:v>
                </c:pt>
                <c:pt idx="3">
                  <c:v>165</c:v>
                </c:pt>
                <c:pt idx="4">
                  <c:v>180</c:v>
                </c:pt>
              </c:numCache>
            </c:numRef>
          </c:xVal>
          <c:yVal>
            <c:numRef>
              <c:f>Graph!$AN$5:$AN$9</c:f>
              <c:numCache>
                <c:formatCode>0.00</c:formatCode>
                <c:ptCount val="5"/>
                <c:pt idx="0">
                  <c:v>69.422146974701988</c:v>
                </c:pt>
                <c:pt idx="1">
                  <c:v>60.07055689096817</c:v>
                </c:pt>
                <c:pt idx="2">
                  <c:v>52.861119864924454</c:v>
                </c:pt>
                <c:pt idx="3">
                  <c:v>47.420229745573245</c:v>
                </c:pt>
                <c:pt idx="4">
                  <c:v>44.060634667615908</c:v>
                </c:pt>
              </c:numCache>
            </c:numRef>
          </c:yVal>
          <c:smooth val="1"/>
        </c:ser>
        <c:ser>
          <c:idx val="2"/>
          <c:order val="2"/>
          <c:tx>
            <c:strRef>
              <c:f>Graph!$AO$3</c:f>
              <c:strCache>
                <c:ptCount val="1"/>
                <c:pt idx="0">
                  <c:v>Hoop Stress Allowable</c:v>
                </c:pt>
              </c:strCache>
            </c:strRef>
          </c:tx>
          <c:marker>
            <c:symbol val="none"/>
          </c:marker>
          <c:xVal>
            <c:numRef>
              <c:f>Graph!$AC$5:$AC$9</c:f>
              <c:numCache>
                <c:formatCode>General</c:formatCode>
                <c:ptCount val="5"/>
                <c:pt idx="0">
                  <c:v>120</c:v>
                </c:pt>
                <c:pt idx="1">
                  <c:v>135</c:v>
                </c:pt>
                <c:pt idx="2">
                  <c:v>150</c:v>
                </c:pt>
                <c:pt idx="3">
                  <c:v>165</c:v>
                </c:pt>
                <c:pt idx="4">
                  <c:v>180</c:v>
                </c:pt>
              </c:numCache>
            </c:numRef>
          </c:xVal>
          <c:yVal>
            <c:numRef>
              <c:f>Graph!$AO$5:$AO$9</c:f>
              <c:numCache>
                <c:formatCode>0.00</c:formatCode>
                <c:ptCount val="5"/>
                <c:pt idx="0">
                  <c:v>92.628</c:v>
                </c:pt>
                <c:pt idx="1">
                  <c:v>92.628</c:v>
                </c:pt>
                <c:pt idx="2">
                  <c:v>92.628</c:v>
                </c:pt>
                <c:pt idx="3">
                  <c:v>92.628</c:v>
                </c:pt>
                <c:pt idx="4">
                  <c:v>92.628</c:v>
                </c:pt>
              </c:numCache>
            </c:numRef>
          </c:yVal>
          <c:smooth val="1"/>
        </c:ser>
        <c:ser>
          <c:idx val="3"/>
          <c:order val="3"/>
          <c:tx>
            <c:strRef>
              <c:f>Graph!$AP$3</c:f>
              <c:strCache>
                <c:ptCount val="1"/>
                <c:pt idx="0">
                  <c:v>Axial Stress Allowable</c:v>
                </c:pt>
              </c:strCache>
            </c:strRef>
          </c:tx>
          <c:marker>
            <c:symbol val="none"/>
          </c:marker>
          <c:xVal>
            <c:numRef>
              <c:f>Graph!$AC$5:$AC$9</c:f>
              <c:numCache>
                <c:formatCode>General</c:formatCode>
                <c:ptCount val="5"/>
                <c:pt idx="0">
                  <c:v>120</c:v>
                </c:pt>
                <c:pt idx="1">
                  <c:v>135</c:v>
                </c:pt>
                <c:pt idx="2">
                  <c:v>150</c:v>
                </c:pt>
                <c:pt idx="3">
                  <c:v>165</c:v>
                </c:pt>
                <c:pt idx="4">
                  <c:v>180</c:v>
                </c:pt>
              </c:numCache>
            </c:numRef>
          </c:xVal>
          <c:yVal>
            <c:numRef>
              <c:f>Graph!$AP$5:$AP$9</c:f>
              <c:numCache>
                <c:formatCode>0.00</c:formatCode>
                <c:ptCount val="5"/>
                <c:pt idx="0">
                  <c:v>44.484469105372717</c:v>
                </c:pt>
                <c:pt idx="1">
                  <c:v>44.484469105372717</c:v>
                </c:pt>
                <c:pt idx="2">
                  <c:v>44.484469105372717</c:v>
                </c:pt>
                <c:pt idx="3">
                  <c:v>44.484469105372717</c:v>
                </c:pt>
                <c:pt idx="4">
                  <c:v>44.484469105372717</c:v>
                </c:pt>
              </c:numCache>
            </c:numRef>
          </c:yVal>
          <c:smooth val="1"/>
        </c:ser>
        <c:dLbls>
          <c:showLegendKey val="0"/>
          <c:showVal val="0"/>
          <c:showCatName val="0"/>
          <c:showSerName val="0"/>
          <c:showPercent val="0"/>
          <c:showBubbleSize val="0"/>
        </c:dLbls>
        <c:axId val="281161704"/>
        <c:axId val="281162488"/>
      </c:scatterChart>
      <c:valAx>
        <c:axId val="281161704"/>
        <c:scaling>
          <c:orientation val="minMax"/>
          <c:min val="100"/>
        </c:scaling>
        <c:delete val="0"/>
        <c:axPos val="b"/>
        <c:title>
          <c:tx>
            <c:rich>
              <a:bodyPr/>
              <a:lstStyle/>
              <a:p>
                <a:pPr>
                  <a:defRPr/>
                </a:pPr>
                <a:r>
                  <a:rPr lang="en-US"/>
                  <a:t>Saddle Angle (deg)</a:t>
                </a:r>
              </a:p>
            </c:rich>
          </c:tx>
          <c:layout>
            <c:manualLayout>
              <c:xMode val="edge"/>
              <c:yMode val="edge"/>
              <c:x val="0.80236738092547433"/>
              <c:y val="0.69396017453114089"/>
            </c:manualLayout>
          </c:layout>
          <c:overlay val="0"/>
        </c:title>
        <c:numFmt formatCode="General" sourceLinked="1"/>
        <c:majorTickMark val="none"/>
        <c:minorTickMark val="none"/>
        <c:tickLblPos val="nextTo"/>
        <c:crossAx val="281162488"/>
        <c:crosses val="autoZero"/>
        <c:crossBetween val="midCat"/>
      </c:valAx>
      <c:valAx>
        <c:axId val="281162488"/>
        <c:scaling>
          <c:orientation val="minMax"/>
        </c:scaling>
        <c:delete val="0"/>
        <c:axPos val="l"/>
        <c:title>
          <c:tx>
            <c:rich>
              <a:bodyPr/>
              <a:lstStyle/>
              <a:p>
                <a:pPr>
                  <a:defRPr/>
                </a:pPr>
                <a:r>
                  <a:rPr lang="en-US"/>
                  <a:t>Local Stress (MPa)</a:t>
                </a:r>
              </a:p>
            </c:rich>
          </c:tx>
          <c:layout>
            <c:manualLayout>
              <c:xMode val="edge"/>
              <c:yMode val="edge"/>
              <c:x val="0.19569051833061429"/>
              <c:y val="1.9672864756943461E-2"/>
            </c:manualLayout>
          </c:layout>
          <c:overlay val="0"/>
        </c:title>
        <c:numFmt formatCode="0.00" sourceLinked="1"/>
        <c:majorTickMark val="none"/>
        <c:minorTickMark val="none"/>
        <c:tickLblPos val="nextTo"/>
        <c:crossAx val="281161704"/>
        <c:crosses val="autoZero"/>
        <c:crossBetween val="midCat"/>
      </c:valAx>
    </c:plotArea>
    <c:legend>
      <c:legendPos val="r"/>
      <c:layout>
        <c:manualLayout>
          <c:xMode val="edge"/>
          <c:yMode val="edge"/>
          <c:x val="2.7226270447499052E-2"/>
          <c:y val="0.87357037811711069"/>
          <c:w val="0.93824010867062779"/>
          <c:h val="0.10639066901509457"/>
        </c:manualLayout>
      </c:layout>
      <c:overlay val="0"/>
    </c:legend>
    <c:plotVisOnly val="1"/>
    <c:dispBlanksAs val="zero"/>
    <c:showDLblsOverMax val="0"/>
  </c:chart>
  <c:spPr>
    <a:noFill/>
  </c:spPr>
  <c:printSettings>
    <c:headerFooter/>
    <c:pageMargins b="0.75000000000000622" l="0.70000000000000062" r="0.70000000000000062" t="0.750000000000006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616506604149757"/>
          <c:y val="3.9029577910790182E-2"/>
          <c:w val="0.76329952650934096"/>
          <c:h val="0.7245375752623493"/>
        </c:manualLayout>
      </c:layout>
      <c:scatterChart>
        <c:scatterStyle val="smoothMarker"/>
        <c:varyColors val="0"/>
        <c:ser>
          <c:idx val="0"/>
          <c:order val="0"/>
          <c:tx>
            <c:strRef>
              <c:f>Graph!$AS$3</c:f>
              <c:strCache>
                <c:ptCount val="1"/>
                <c:pt idx="0">
                  <c:v>Local Hoop Stress </c:v>
                </c:pt>
              </c:strCache>
            </c:strRef>
          </c:tx>
          <c:marker>
            <c:symbol val="none"/>
          </c:marker>
          <c:xVal>
            <c:numRef>
              <c:f>Graph!$AR$5:$AR$11</c:f>
              <c:numCache>
                <c:formatCode>0.0000</c:formatCode>
                <c:ptCount val="7"/>
                <c:pt idx="0">
                  <c:v>1</c:v>
                </c:pt>
                <c:pt idx="1">
                  <c:v>2</c:v>
                </c:pt>
                <c:pt idx="2">
                  <c:v>3</c:v>
                </c:pt>
                <c:pt idx="3">
                  <c:v>4</c:v>
                </c:pt>
                <c:pt idx="4">
                  <c:v>5</c:v>
                </c:pt>
                <c:pt idx="5">
                  <c:v>6</c:v>
                </c:pt>
                <c:pt idx="6">
                  <c:v>7</c:v>
                </c:pt>
              </c:numCache>
            </c:numRef>
          </c:xVal>
          <c:yVal>
            <c:numRef>
              <c:f>Graph!$AU$5:$AU$11</c:f>
              <c:numCache>
                <c:formatCode>0.00</c:formatCode>
                <c:ptCount val="7"/>
                <c:pt idx="0">
                  <c:v>52.573999097960069</c:v>
                </c:pt>
                <c:pt idx="1">
                  <c:v>52.74759250667033</c:v>
                </c:pt>
                <c:pt idx="2">
                  <c:v>52.921185915380605</c:v>
                </c:pt>
                <c:pt idx="3">
                  <c:v>53.094779324090865</c:v>
                </c:pt>
                <c:pt idx="4">
                  <c:v>53.26837273280114</c:v>
                </c:pt>
                <c:pt idx="5">
                  <c:v>53.441966141511401</c:v>
                </c:pt>
                <c:pt idx="6">
                  <c:v>53.615559550221676</c:v>
                </c:pt>
              </c:numCache>
            </c:numRef>
          </c:yVal>
          <c:smooth val="1"/>
        </c:ser>
        <c:ser>
          <c:idx val="1"/>
          <c:order val="1"/>
          <c:tx>
            <c:strRef>
              <c:f>Graph!$AV$3</c:f>
              <c:strCache>
                <c:ptCount val="1"/>
                <c:pt idx="0">
                  <c:v>Local Axial Stress</c:v>
                </c:pt>
              </c:strCache>
            </c:strRef>
          </c:tx>
          <c:marker>
            <c:symbol val="none"/>
          </c:marker>
          <c:xVal>
            <c:numRef>
              <c:f>Graph!$AR$5:$AR$11</c:f>
              <c:numCache>
                <c:formatCode>0.0000</c:formatCode>
                <c:ptCount val="7"/>
                <c:pt idx="0">
                  <c:v>1</c:v>
                </c:pt>
                <c:pt idx="1">
                  <c:v>2</c:v>
                </c:pt>
                <c:pt idx="2">
                  <c:v>3</c:v>
                </c:pt>
                <c:pt idx="3">
                  <c:v>4</c:v>
                </c:pt>
                <c:pt idx="4">
                  <c:v>5</c:v>
                </c:pt>
                <c:pt idx="5">
                  <c:v>6</c:v>
                </c:pt>
                <c:pt idx="6">
                  <c:v>7</c:v>
                </c:pt>
              </c:numCache>
            </c:numRef>
          </c:xVal>
          <c:yVal>
            <c:numRef>
              <c:f>Graph!$AX$5:$AX$11</c:f>
              <c:numCache>
                <c:formatCode>0.00</c:formatCode>
                <c:ptCount val="7"/>
                <c:pt idx="0">
                  <c:v>21.839498303979543</c:v>
                </c:pt>
                <c:pt idx="1">
                  <c:v>27.413361940343179</c:v>
                </c:pt>
                <c:pt idx="2">
                  <c:v>36.703134667615906</c:v>
                </c:pt>
                <c:pt idx="3">
                  <c:v>49.708816485797719</c:v>
                </c:pt>
                <c:pt idx="4">
                  <c:v>66.430407394888618</c:v>
                </c:pt>
                <c:pt idx="5">
                  <c:v>86.867907394888618</c:v>
                </c:pt>
                <c:pt idx="6">
                  <c:v>111.02131648579771</c:v>
                </c:pt>
              </c:numCache>
            </c:numRef>
          </c:yVal>
          <c:smooth val="1"/>
        </c:ser>
        <c:ser>
          <c:idx val="2"/>
          <c:order val="2"/>
          <c:tx>
            <c:strRef>
              <c:f>Graph!$AY$3</c:f>
              <c:strCache>
                <c:ptCount val="1"/>
                <c:pt idx="0">
                  <c:v>Hoop Stress Allowable</c:v>
                </c:pt>
              </c:strCache>
            </c:strRef>
          </c:tx>
          <c:marker>
            <c:symbol val="none"/>
          </c:marker>
          <c:xVal>
            <c:numRef>
              <c:f>Graph!$AR$5:$AR$11</c:f>
              <c:numCache>
                <c:formatCode>0.0000</c:formatCode>
                <c:ptCount val="7"/>
                <c:pt idx="0">
                  <c:v>1</c:v>
                </c:pt>
                <c:pt idx="1">
                  <c:v>2</c:v>
                </c:pt>
                <c:pt idx="2">
                  <c:v>3</c:v>
                </c:pt>
                <c:pt idx="3">
                  <c:v>4</c:v>
                </c:pt>
                <c:pt idx="4">
                  <c:v>5</c:v>
                </c:pt>
                <c:pt idx="5">
                  <c:v>6</c:v>
                </c:pt>
                <c:pt idx="6">
                  <c:v>7</c:v>
                </c:pt>
              </c:numCache>
            </c:numRef>
          </c:xVal>
          <c:yVal>
            <c:numRef>
              <c:f>Graph!$AY$5:$AY$11</c:f>
              <c:numCache>
                <c:formatCode>0.0000</c:formatCode>
                <c:ptCount val="7"/>
                <c:pt idx="0">
                  <c:v>92.628</c:v>
                </c:pt>
                <c:pt idx="1">
                  <c:v>92.628</c:v>
                </c:pt>
                <c:pt idx="2">
                  <c:v>92.628</c:v>
                </c:pt>
                <c:pt idx="3">
                  <c:v>92.628</c:v>
                </c:pt>
                <c:pt idx="4">
                  <c:v>92.628</c:v>
                </c:pt>
                <c:pt idx="5">
                  <c:v>92.628</c:v>
                </c:pt>
                <c:pt idx="6">
                  <c:v>92.628</c:v>
                </c:pt>
              </c:numCache>
            </c:numRef>
          </c:yVal>
          <c:smooth val="1"/>
        </c:ser>
        <c:ser>
          <c:idx val="3"/>
          <c:order val="3"/>
          <c:tx>
            <c:strRef>
              <c:f>Graph!$AZ$3</c:f>
              <c:strCache>
                <c:ptCount val="1"/>
                <c:pt idx="0">
                  <c:v>Axial Stress Allowable</c:v>
                </c:pt>
              </c:strCache>
            </c:strRef>
          </c:tx>
          <c:marker>
            <c:symbol val="none"/>
          </c:marker>
          <c:xVal>
            <c:numRef>
              <c:f>Graph!$AR$5:$AR$11</c:f>
              <c:numCache>
                <c:formatCode>0.0000</c:formatCode>
                <c:ptCount val="7"/>
                <c:pt idx="0">
                  <c:v>1</c:v>
                </c:pt>
                <c:pt idx="1">
                  <c:v>2</c:v>
                </c:pt>
                <c:pt idx="2">
                  <c:v>3</c:v>
                </c:pt>
                <c:pt idx="3">
                  <c:v>4</c:v>
                </c:pt>
                <c:pt idx="4">
                  <c:v>5</c:v>
                </c:pt>
                <c:pt idx="5">
                  <c:v>6</c:v>
                </c:pt>
                <c:pt idx="6">
                  <c:v>7</c:v>
                </c:pt>
              </c:numCache>
            </c:numRef>
          </c:xVal>
          <c:yVal>
            <c:numRef>
              <c:f>Graph!$AZ$5:$AZ$11</c:f>
              <c:numCache>
                <c:formatCode>0.00</c:formatCode>
                <c:ptCount val="7"/>
                <c:pt idx="0">
                  <c:v>44.484469105372717</c:v>
                </c:pt>
                <c:pt idx="1">
                  <c:v>44.484469105372717</c:v>
                </c:pt>
                <c:pt idx="2">
                  <c:v>44.484469105372717</c:v>
                </c:pt>
                <c:pt idx="3">
                  <c:v>44.484469105372717</c:v>
                </c:pt>
                <c:pt idx="4">
                  <c:v>44.484469105372717</c:v>
                </c:pt>
                <c:pt idx="5">
                  <c:v>44.484469105372717</c:v>
                </c:pt>
                <c:pt idx="6">
                  <c:v>44.484469105372717</c:v>
                </c:pt>
              </c:numCache>
            </c:numRef>
          </c:yVal>
          <c:smooth val="1"/>
        </c:ser>
        <c:dLbls>
          <c:showLegendKey val="0"/>
          <c:showVal val="0"/>
          <c:showCatName val="0"/>
          <c:showSerName val="0"/>
          <c:showPercent val="0"/>
          <c:showBubbleSize val="0"/>
        </c:dLbls>
        <c:axId val="281161312"/>
        <c:axId val="281160920"/>
      </c:scatterChart>
      <c:valAx>
        <c:axId val="281161312"/>
        <c:scaling>
          <c:orientation val="minMax"/>
        </c:scaling>
        <c:delete val="0"/>
        <c:axPos val="b"/>
        <c:title>
          <c:tx>
            <c:rich>
              <a:bodyPr/>
              <a:lstStyle/>
              <a:p>
                <a:pPr>
                  <a:defRPr/>
                </a:pPr>
                <a:r>
                  <a:rPr lang="en-US"/>
                  <a:t>Pipe Span (m)</a:t>
                </a:r>
              </a:p>
            </c:rich>
          </c:tx>
          <c:layout>
            <c:manualLayout>
              <c:xMode val="edge"/>
              <c:yMode val="edge"/>
              <c:x val="0.74363644519639061"/>
              <c:y val="0.70398727155564711"/>
            </c:manualLayout>
          </c:layout>
          <c:overlay val="0"/>
        </c:title>
        <c:numFmt formatCode="0.0000" sourceLinked="1"/>
        <c:majorTickMark val="none"/>
        <c:minorTickMark val="none"/>
        <c:tickLblPos val="nextTo"/>
        <c:crossAx val="281160920"/>
        <c:crosses val="autoZero"/>
        <c:crossBetween val="midCat"/>
      </c:valAx>
      <c:valAx>
        <c:axId val="281160920"/>
        <c:scaling>
          <c:orientation val="minMax"/>
        </c:scaling>
        <c:delete val="0"/>
        <c:axPos val="l"/>
        <c:title>
          <c:tx>
            <c:rich>
              <a:bodyPr/>
              <a:lstStyle/>
              <a:p>
                <a:pPr>
                  <a:defRPr/>
                </a:pPr>
                <a:r>
                  <a:rPr lang="en-US"/>
                  <a:t>Local Stress (MPa)</a:t>
                </a:r>
              </a:p>
            </c:rich>
          </c:tx>
          <c:layout>
            <c:manualLayout>
              <c:xMode val="edge"/>
              <c:yMode val="edge"/>
              <c:x val="0.19797973499411914"/>
              <c:y val="4.8494808309362307E-2"/>
            </c:manualLayout>
          </c:layout>
          <c:overlay val="0"/>
        </c:title>
        <c:numFmt formatCode="0.00" sourceLinked="1"/>
        <c:majorTickMark val="none"/>
        <c:minorTickMark val="none"/>
        <c:tickLblPos val="nextTo"/>
        <c:crossAx val="281161312"/>
        <c:crosses val="autoZero"/>
        <c:crossBetween val="midCat"/>
      </c:valAx>
      <c:spPr>
        <a:noFill/>
        <a:ln w="25400">
          <a:noFill/>
        </a:ln>
      </c:spPr>
    </c:plotArea>
    <c:legend>
      <c:legendPos val="l"/>
      <c:layout>
        <c:manualLayout>
          <c:xMode val="edge"/>
          <c:yMode val="edge"/>
          <c:x val="3.2323222039856186E-2"/>
          <c:y val="0.87497979348387644"/>
          <c:w val="0.96767677796014384"/>
          <c:h val="9.7247042098200565E-2"/>
        </c:manualLayout>
      </c:layout>
      <c:overlay val="0"/>
    </c:legend>
    <c:plotVisOnly val="1"/>
    <c:dispBlanksAs val="zero"/>
    <c:showDLblsOverMax val="0"/>
  </c:chart>
  <c:spPr>
    <a:noFill/>
  </c:spPr>
  <c:printSettings>
    <c:headerFooter/>
    <c:pageMargins b="0.75000000000000644" l="0.70000000000000062" r="0.70000000000000062" t="0.750000000000006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4497101413729"/>
          <c:y val="3.9058996253436645E-2"/>
          <c:w val="0.75296620632701283"/>
          <c:h val="0.73488403659305701"/>
        </c:manualLayout>
      </c:layout>
      <c:scatterChart>
        <c:scatterStyle val="smoothMarker"/>
        <c:varyColors val="0"/>
        <c:ser>
          <c:idx val="0"/>
          <c:order val="0"/>
          <c:tx>
            <c:strRef>
              <c:f>Graph!$BD$3</c:f>
              <c:strCache>
                <c:ptCount val="1"/>
                <c:pt idx="0">
                  <c:v>Local Shear Stress</c:v>
                </c:pt>
              </c:strCache>
            </c:strRef>
          </c:tx>
          <c:marker>
            <c:symbol val="none"/>
          </c:marker>
          <c:xVal>
            <c:numRef>
              <c:f>Graph!$BB$5:$BB$9</c:f>
              <c:numCache>
                <c:formatCode>General</c:formatCode>
                <c:ptCount val="5"/>
                <c:pt idx="0">
                  <c:v>120</c:v>
                </c:pt>
                <c:pt idx="1">
                  <c:v>135</c:v>
                </c:pt>
                <c:pt idx="2">
                  <c:v>150</c:v>
                </c:pt>
                <c:pt idx="3">
                  <c:v>165</c:v>
                </c:pt>
                <c:pt idx="4">
                  <c:v>180</c:v>
                </c:pt>
              </c:numCache>
            </c:numRef>
          </c:xVal>
          <c:yVal>
            <c:numRef>
              <c:f>Graph!$BD$5:$BD$9</c:f>
              <c:numCache>
                <c:formatCode>0.00</c:formatCode>
                <c:ptCount val="5"/>
                <c:pt idx="0">
                  <c:v>7.9125790144132164</c:v>
                </c:pt>
                <c:pt idx="1">
                  <c:v>6.4733140015438595</c:v>
                </c:pt>
                <c:pt idx="2">
                  <c:v>5.3989330764442025</c:v>
                </c:pt>
                <c:pt idx="3">
                  <c:v>4.5610510971211964</c:v>
                </c:pt>
                <c:pt idx="4">
                  <c:v>3.8988540489465633</c:v>
                </c:pt>
              </c:numCache>
            </c:numRef>
          </c:yVal>
          <c:smooth val="1"/>
        </c:ser>
        <c:ser>
          <c:idx val="1"/>
          <c:order val="1"/>
          <c:tx>
            <c:strRef>
              <c:f>Graph!$BE$3</c:f>
              <c:strCache>
                <c:ptCount val="1"/>
                <c:pt idx="0">
                  <c:v>Allowable Shear Stress</c:v>
                </c:pt>
              </c:strCache>
            </c:strRef>
          </c:tx>
          <c:marker>
            <c:symbol val="none"/>
          </c:marker>
          <c:xVal>
            <c:numRef>
              <c:f>Graph!$BB$5:$BB$9</c:f>
              <c:numCache>
                <c:formatCode>General</c:formatCode>
                <c:ptCount val="5"/>
                <c:pt idx="0">
                  <c:v>120</c:v>
                </c:pt>
                <c:pt idx="1">
                  <c:v>135</c:v>
                </c:pt>
                <c:pt idx="2">
                  <c:v>150</c:v>
                </c:pt>
                <c:pt idx="3">
                  <c:v>165</c:v>
                </c:pt>
                <c:pt idx="4">
                  <c:v>180</c:v>
                </c:pt>
              </c:numCache>
            </c:numRef>
          </c:xVal>
          <c:yVal>
            <c:numRef>
              <c:f>Graph!$BE$5:$BE$9</c:f>
              <c:numCache>
                <c:formatCode>0.00</c:formatCode>
                <c:ptCount val="5"/>
                <c:pt idx="0">
                  <c:v>10</c:v>
                </c:pt>
                <c:pt idx="1">
                  <c:v>10</c:v>
                </c:pt>
                <c:pt idx="2">
                  <c:v>10</c:v>
                </c:pt>
                <c:pt idx="3">
                  <c:v>10</c:v>
                </c:pt>
                <c:pt idx="4">
                  <c:v>10</c:v>
                </c:pt>
              </c:numCache>
            </c:numRef>
          </c:yVal>
          <c:smooth val="1"/>
        </c:ser>
        <c:dLbls>
          <c:showLegendKey val="0"/>
          <c:showVal val="0"/>
          <c:showCatName val="0"/>
          <c:showSerName val="0"/>
          <c:showPercent val="0"/>
          <c:showBubbleSize val="0"/>
        </c:dLbls>
        <c:axId val="281164448"/>
        <c:axId val="281159352"/>
      </c:scatterChart>
      <c:valAx>
        <c:axId val="281164448"/>
        <c:scaling>
          <c:orientation val="minMax"/>
          <c:min val="100"/>
        </c:scaling>
        <c:delete val="0"/>
        <c:axPos val="b"/>
        <c:title>
          <c:tx>
            <c:rich>
              <a:bodyPr/>
              <a:lstStyle/>
              <a:p>
                <a:pPr>
                  <a:defRPr/>
                </a:pPr>
                <a:r>
                  <a:rPr lang="en-US"/>
                  <a:t>Saddle Angle (deg)</a:t>
                </a:r>
              </a:p>
            </c:rich>
          </c:tx>
          <c:layout>
            <c:manualLayout>
              <c:xMode val="edge"/>
              <c:yMode val="edge"/>
              <c:x val="0.60494975511238969"/>
              <c:y val="0.69321006378160255"/>
            </c:manualLayout>
          </c:layout>
          <c:overlay val="0"/>
        </c:title>
        <c:numFmt formatCode="General" sourceLinked="1"/>
        <c:majorTickMark val="none"/>
        <c:minorTickMark val="none"/>
        <c:tickLblPos val="nextTo"/>
        <c:crossAx val="281159352"/>
        <c:crosses val="autoZero"/>
        <c:crossBetween val="midCat"/>
      </c:valAx>
      <c:valAx>
        <c:axId val="281159352"/>
        <c:scaling>
          <c:orientation val="minMax"/>
        </c:scaling>
        <c:delete val="0"/>
        <c:axPos val="l"/>
        <c:title>
          <c:tx>
            <c:rich>
              <a:bodyPr/>
              <a:lstStyle/>
              <a:p>
                <a:pPr>
                  <a:defRPr/>
                </a:pPr>
                <a:r>
                  <a:rPr lang="en-US"/>
                  <a:t>Loacal Shear Stress (MPa)</a:t>
                </a:r>
              </a:p>
            </c:rich>
          </c:tx>
          <c:layout>
            <c:manualLayout>
              <c:xMode val="edge"/>
              <c:yMode val="edge"/>
              <c:x val="0.17445482866043621"/>
              <c:y val="4.1514137909542434E-2"/>
            </c:manualLayout>
          </c:layout>
          <c:overlay val="0"/>
        </c:title>
        <c:numFmt formatCode="0.00" sourceLinked="1"/>
        <c:majorTickMark val="none"/>
        <c:minorTickMark val="none"/>
        <c:tickLblPos val="nextTo"/>
        <c:crossAx val="281164448"/>
        <c:crosses val="autoZero"/>
        <c:crossBetween val="midCat"/>
      </c:valAx>
    </c:plotArea>
    <c:legend>
      <c:legendPos val="r"/>
      <c:layout>
        <c:manualLayout>
          <c:xMode val="edge"/>
          <c:yMode val="edge"/>
          <c:x val="3.7383177570093788E-2"/>
          <c:y val="0.88317342917887265"/>
          <c:w val="0.90861889927310779"/>
          <c:h val="9.2052161026045895E-2"/>
        </c:manualLayout>
      </c:layout>
      <c:overlay val="0"/>
    </c:legend>
    <c:plotVisOnly val="1"/>
    <c:dispBlanksAs val="zero"/>
    <c:showDLblsOverMax val="0"/>
  </c:chart>
  <c:spPr>
    <a:noFill/>
  </c:spPr>
  <c:printSettings>
    <c:headerFooter/>
    <c:pageMargins b="0.75000000000000666" l="0.70000000000000062" r="0.70000000000000062" t="0.750000000000006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9582354837237"/>
          <c:y val="3.9055545060873408E-2"/>
          <c:w val="0.77133213611456464"/>
          <c:h val="0.73842518088554554"/>
        </c:manualLayout>
      </c:layout>
      <c:scatterChart>
        <c:scatterStyle val="smoothMarker"/>
        <c:varyColors val="0"/>
        <c:ser>
          <c:idx val="0"/>
          <c:order val="0"/>
          <c:tx>
            <c:strRef>
              <c:f>Graph!$BH$4</c:f>
              <c:strCache>
                <c:ptCount val="1"/>
                <c:pt idx="0">
                  <c:v>Single Span Beam</c:v>
                </c:pt>
              </c:strCache>
            </c:strRef>
          </c:tx>
          <c:marker>
            <c:symbol val="none"/>
          </c:marker>
          <c:xVal>
            <c:numRef>
              <c:f>Graph!$BG$5:$BG$11</c:f>
              <c:numCache>
                <c:formatCode>0.00</c:formatCode>
                <c:ptCount val="7"/>
                <c:pt idx="0">
                  <c:v>1</c:v>
                </c:pt>
                <c:pt idx="1">
                  <c:v>3</c:v>
                </c:pt>
                <c:pt idx="2">
                  <c:v>3</c:v>
                </c:pt>
                <c:pt idx="3">
                  <c:v>4</c:v>
                </c:pt>
                <c:pt idx="4">
                  <c:v>5</c:v>
                </c:pt>
                <c:pt idx="5">
                  <c:v>6</c:v>
                </c:pt>
                <c:pt idx="6">
                  <c:v>7</c:v>
                </c:pt>
              </c:numCache>
            </c:numRef>
          </c:xVal>
          <c:yVal>
            <c:numRef>
              <c:f>Graph!$BH$5:$BH$11</c:f>
              <c:numCache>
                <c:formatCode>0.00</c:formatCode>
                <c:ptCount val="7"/>
                <c:pt idx="0">
                  <c:v>2.3389231431203868E-2</c:v>
                </c:pt>
                <c:pt idx="1">
                  <c:v>1.8945277459275136</c:v>
                </c:pt>
                <c:pt idx="2">
                  <c:v>1.8945277459275136</c:v>
                </c:pt>
                <c:pt idx="3">
                  <c:v>5.9876432463881901</c:v>
                </c:pt>
                <c:pt idx="4">
                  <c:v>14.618269644502419</c:v>
                </c:pt>
                <c:pt idx="5">
                  <c:v>30.312443934840218</c:v>
                </c:pt>
                <c:pt idx="6">
                  <c:v>56.15754466632049</c:v>
                </c:pt>
              </c:numCache>
            </c:numRef>
          </c:yVal>
          <c:smooth val="1"/>
        </c:ser>
        <c:ser>
          <c:idx val="1"/>
          <c:order val="1"/>
          <c:tx>
            <c:strRef>
              <c:f>Graph!$BI$4</c:f>
              <c:strCache>
                <c:ptCount val="1"/>
                <c:pt idx="0">
                  <c:v>Two Span Beam</c:v>
                </c:pt>
              </c:strCache>
            </c:strRef>
          </c:tx>
          <c:marker>
            <c:symbol val="none"/>
          </c:marker>
          <c:xVal>
            <c:numRef>
              <c:f>Graph!$BG$5:$BG$11</c:f>
              <c:numCache>
                <c:formatCode>0.00</c:formatCode>
                <c:ptCount val="7"/>
                <c:pt idx="0">
                  <c:v>1</c:v>
                </c:pt>
                <c:pt idx="1">
                  <c:v>3</c:v>
                </c:pt>
                <c:pt idx="2">
                  <c:v>3</c:v>
                </c:pt>
                <c:pt idx="3">
                  <c:v>4</c:v>
                </c:pt>
                <c:pt idx="4">
                  <c:v>5</c:v>
                </c:pt>
                <c:pt idx="5">
                  <c:v>6</c:v>
                </c:pt>
                <c:pt idx="6">
                  <c:v>7</c:v>
                </c:pt>
              </c:numCache>
            </c:numRef>
          </c:xVal>
          <c:yVal>
            <c:numRef>
              <c:f>Graph!$BI$5:$BI$11</c:f>
              <c:numCache>
                <c:formatCode>0.00</c:formatCode>
                <c:ptCount val="7"/>
                <c:pt idx="0">
                  <c:v>9.7096917508997689E-3</c:v>
                </c:pt>
                <c:pt idx="1">
                  <c:v>0.78648503182288132</c:v>
                </c:pt>
                <c:pt idx="2">
                  <c:v>0.78648503182288132</c:v>
                </c:pt>
                <c:pt idx="3">
                  <c:v>2.4856810882303408</c:v>
                </c:pt>
                <c:pt idx="4">
                  <c:v>6.0685573443123557</c:v>
                </c:pt>
                <c:pt idx="5">
                  <c:v>12.583760509166101</c:v>
                </c:pt>
                <c:pt idx="6">
                  <c:v>23.312969893910342</c:v>
                </c:pt>
              </c:numCache>
            </c:numRef>
          </c:yVal>
          <c:smooth val="1"/>
        </c:ser>
        <c:ser>
          <c:idx val="2"/>
          <c:order val="2"/>
          <c:tx>
            <c:strRef>
              <c:f>Graph!$BJ$4</c:f>
              <c:strCache>
                <c:ptCount val="1"/>
                <c:pt idx="0">
                  <c:v>Anchored Beam</c:v>
                </c:pt>
              </c:strCache>
            </c:strRef>
          </c:tx>
          <c:marker>
            <c:symbol val="none"/>
          </c:marker>
          <c:xVal>
            <c:numRef>
              <c:f>Graph!$BG$5:$BG$11</c:f>
              <c:numCache>
                <c:formatCode>0.00</c:formatCode>
                <c:ptCount val="7"/>
                <c:pt idx="0">
                  <c:v>1</c:v>
                </c:pt>
                <c:pt idx="1">
                  <c:v>3</c:v>
                </c:pt>
                <c:pt idx="2">
                  <c:v>3</c:v>
                </c:pt>
                <c:pt idx="3">
                  <c:v>4</c:v>
                </c:pt>
                <c:pt idx="4">
                  <c:v>5</c:v>
                </c:pt>
                <c:pt idx="5">
                  <c:v>6</c:v>
                </c:pt>
                <c:pt idx="6">
                  <c:v>7</c:v>
                </c:pt>
              </c:numCache>
            </c:numRef>
          </c:xVal>
          <c:yVal>
            <c:numRef>
              <c:f>Graph!$BJ$5:$BJ$11</c:f>
              <c:numCache>
                <c:formatCode>0.00</c:formatCode>
                <c:ptCount val="7"/>
                <c:pt idx="0">
                  <c:v>4.6778462862407744E-3</c:v>
                </c:pt>
                <c:pt idx="1">
                  <c:v>0.37890554918550273</c:v>
                </c:pt>
                <c:pt idx="2">
                  <c:v>0.37890554918550273</c:v>
                </c:pt>
                <c:pt idx="3">
                  <c:v>1.1975286492776382</c:v>
                </c:pt>
                <c:pt idx="4">
                  <c:v>2.9236539289004839</c:v>
                </c:pt>
                <c:pt idx="5">
                  <c:v>6.0624887869680437</c:v>
                </c:pt>
                <c:pt idx="6">
                  <c:v>11.231508933264099</c:v>
                </c:pt>
              </c:numCache>
            </c:numRef>
          </c:yVal>
          <c:smooth val="1"/>
        </c:ser>
        <c:ser>
          <c:idx val="3"/>
          <c:order val="3"/>
          <c:tx>
            <c:strRef>
              <c:f>Graph!$BK$4</c:f>
              <c:strCache>
                <c:ptCount val="1"/>
                <c:pt idx="0">
                  <c:v>Allowable Deflection</c:v>
                </c:pt>
              </c:strCache>
            </c:strRef>
          </c:tx>
          <c:marker>
            <c:symbol val="none"/>
          </c:marker>
          <c:xVal>
            <c:numRef>
              <c:f>Graph!$BG$5:$BG$11</c:f>
              <c:numCache>
                <c:formatCode>0.00</c:formatCode>
                <c:ptCount val="7"/>
                <c:pt idx="0">
                  <c:v>1</c:v>
                </c:pt>
                <c:pt idx="1">
                  <c:v>3</c:v>
                </c:pt>
                <c:pt idx="2">
                  <c:v>3</c:v>
                </c:pt>
                <c:pt idx="3">
                  <c:v>4</c:v>
                </c:pt>
                <c:pt idx="4">
                  <c:v>5</c:v>
                </c:pt>
                <c:pt idx="5">
                  <c:v>6</c:v>
                </c:pt>
                <c:pt idx="6">
                  <c:v>7</c:v>
                </c:pt>
              </c:numCache>
            </c:numRef>
          </c:xVal>
          <c:yVal>
            <c:numRef>
              <c:f>Graph!$BK$5:$BK$11</c:f>
              <c:numCache>
                <c:formatCode>0.00</c:formatCode>
                <c:ptCount val="7"/>
                <c:pt idx="0">
                  <c:v>12.5</c:v>
                </c:pt>
                <c:pt idx="1">
                  <c:v>12.5</c:v>
                </c:pt>
                <c:pt idx="2">
                  <c:v>12.5</c:v>
                </c:pt>
                <c:pt idx="3">
                  <c:v>12.5</c:v>
                </c:pt>
                <c:pt idx="4">
                  <c:v>12.5</c:v>
                </c:pt>
                <c:pt idx="5">
                  <c:v>12.5</c:v>
                </c:pt>
                <c:pt idx="6">
                  <c:v>12.5</c:v>
                </c:pt>
              </c:numCache>
            </c:numRef>
          </c:yVal>
          <c:smooth val="1"/>
        </c:ser>
        <c:dLbls>
          <c:showLegendKey val="0"/>
          <c:showVal val="0"/>
          <c:showCatName val="0"/>
          <c:showSerName val="0"/>
          <c:showPercent val="0"/>
          <c:showBubbleSize val="0"/>
        </c:dLbls>
        <c:axId val="281162096"/>
        <c:axId val="281162880"/>
      </c:scatterChart>
      <c:valAx>
        <c:axId val="281162096"/>
        <c:scaling>
          <c:orientation val="minMax"/>
        </c:scaling>
        <c:delete val="0"/>
        <c:axPos val="b"/>
        <c:title>
          <c:tx>
            <c:rich>
              <a:bodyPr/>
              <a:lstStyle/>
              <a:p>
                <a:pPr>
                  <a:defRPr/>
                </a:pPr>
                <a:r>
                  <a:rPr lang="en-US"/>
                  <a:t>Pipe Span (m)</a:t>
                </a:r>
              </a:p>
            </c:rich>
          </c:tx>
          <c:layout>
            <c:manualLayout>
              <c:xMode val="edge"/>
              <c:yMode val="edge"/>
              <c:x val="0.75263157894736843"/>
              <c:y val="0.71786120465535563"/>
            </c:manualLayout>
          </c:layout>
          <c:overlay val="0"/>
        </c:title>
        <c:numFmt formatCode="0.00" sourceLinked="1"/>
        <c:majorTickMark val="none"/>
        <c:minorTickMark val="none"/>
        <c:tickLblPos val="nextTo"/>
        <c:crossAx val="281162880"/>
        <c:crosses val="autoZero"/>
        <c:crossBetween val="midCat"/>
      </c:valAx>
      <c:valAx>
        <c:axId val="281162880"/>
        <c:scaling>
          <c:orientation val="minMax"/>
        </c:scaling>
        <c:delete val="0"/>
        <c:axPos val="l"/>
        <c:title>
          <c:tx>
            <c:rich>
              <a:bodyPr/>
              <a:lstStyle/>
              <a:p>
                <a:pPr>
                  <a:defRPr/>
                </a:pPr>
                <a:r>
                  <a:rPr lang="en-US"/>
                  <a:t>Deflection (mm)</a:t>
                </a:r>
              </a:p>
            </c:rich>
          </c:tx>
          <c:layout>
            <c:manualLayout>
              <c:xMode val="edge"/>
              <c:yMode val="edge"/>
              <c:x val="0.19077957360593067"/>
              <c:y val="7.2818446364755873E-2"/>
            </c:manualLayout>
          </c:layout>
          <c:overlay val="0"/>
        </c:title>
        <c:numFmt formatCode="0.00" sourceLinked="1"/>
        <c:majorTickMark val="none"/>
        <c:minorTickMark val="none"/>
        <c:tickLblPos val="nextTo"/>
        <c:crossAx val="281162096"/>
        <c:crosses val="autoZero"/>
        <c:crossBetween val="midCat"/>
      </c:valAx>
    </c:plotArea>
    <c:legend>
      <c:legendPos val="b"/>
      <c:layout>
        <c:manualLayout>
          <c:xMode val="edge"/>
          <c:yMode val="edge"/>
          <c:x val="3.1189083820662791E-2"/>
          <c:y val="0.86691887142709445"/>
          <c:w val="0.96881091617934012"/>
          <c:h val="0.13308112857290846"/>
        </c:manualLayout>
      </c:layout>
      <c:overlay val="0"/>
    </c:legend>
    <c:plotVisOnly val="1"/>
    <c:dispBlanksAs val="zero"/>
    <c:showDLblsOverMax val="0"/>
  </c:chart>
  <c:spPr>
    <a:noFill/>
  </c:spPr>
  <c:printSettings>
    <c:headerFooter/>
    <c:pageMargins b="0.75000000000000688" l="0.70000000000000062" r="0.70000000000000062" t="0.75000000000000688" header="0.30000000000000032" footer="0.30000000000000032"/>
    <c:pageSetup/>
  </c:printSettings>
</c:chartSpace>
</file>

<file path=xl/ctrlProps/ctrlProp1.xml><?xml version="1.0" encoding="utf-8"?>
<formControlPr xmlns="http://schemas.microsoft.com/office/spreadsheetml/2009/9/main" objectType="Drop" dropStyle="combo" dx="16" fmlaLink="Formula!$O$10" fmlaRange="Formula!$N$11:$N$12" noThreeD="1" sel="1" val="0"/>
</file>

<file path=xl/ctrlProps/ctrlProp10.xml><?xml version="1.0" encoding="utf-8"?>
<formControlPr xmlns="http://schemas.microsoft.com/office/spreadsheetml/2009/9/main" objectType="Radio" firstButton="1" fmlaLink="Graph!$M$3"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GBox" noThreeD="1"/>
</file>

<file path=xl/ctrlProps/ctrlProp2.xml><?xml version="1.0" encoding="utf-8"?>
<formControlPr xmlns="http://schemas.microsoft.com/office/spreadsheetml/2009/9/main" objectType="Drop" dropStyle="combo" dx="16" fmlaLink="Formula!$O$15" fmlaRange="Formula!$N$16:$N$17" noThreeD="1" sel="2" val="0"/>
</file>

<file path=xl/ctrlProps/ctrlProp3.xml><?xml version="1.0" encoding="utf-8"?>
<formControlPr xmlns="http://schemas.microsoft.com/office/spreadsheetml/2009/9/main" objectType="Drop" dropStyle="combo" dx="16" fmlaLink="Formula!$N$2" fmlaRange="Formula!$N$3:$N$7" noThreeD="1" sel="3" val="0"/>
</file>

<file path=xl/ctrlProps/ctrlProp4.xml><?xml version="1.0" encoding="utf-8"?>
<formControlPr xmlns="http://schemas.microsoft.com/office/spreadsheetml/2009/9/main" objectType="Drop" dropStyle="combo" dx="16" fmlaLink="Formula!$U$2" fmlaRange="Formula!$U$3:$U$7" noThreeD="1" sel="5" val="0"/>
</file>

<file path=xl/ctrlProps/ctrlProp5.xml><?xml version="1.0" encoding="utf-8"?>
<formControlPr xmlns="http://schemas.microsoft.com/office/spreadsheetml/2009/9/main" objectType="Drop" dropStyle="combo" dx="16" fmlaLink="Formula!$AB$2" fmlaRange="Formula!$AB$3:$AB$7" noThreeD="1" sel="2" val="0"/>
</file>

<file path=xl/ctrlProps/ctrlProp6.xml><?xml version="1.0" encoding="utf-8"?>
<formControlPr xmlns="http://schemas.microsoft.com/office/spreadsheetml/2009/9/main" objectType="Drop" dropStyle="combo" dx="16" fmlaLink="Formula!$O$20" fmlaRange="Formula!$N$21:$N$23" noThreeD="1" sel="2" val="0"/>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checked="Checked" firstButton="1" fmlaLink="Graph!$O$3"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5.png"/><Relationship Id="rId3" Type="http://schemas.openxmlformats.org/officeDocument/2006/relationships/image" Target="../media/image3.png"/><Relationship Id="rId7" Type="http://schemas.openxmlformats.org/officeDocument/2006/relationships/chart" Target="../charts/chart4.xml"/><Relationship Id="rId12" Type="http://schemas.openxmlformats.org/officeDocument/2006/relationships/image" Target="../media/image4.png"/><Relationship Id="rId17" Type="http://schemas.openxmlformats.org/officeDocument/2006/relationships/image" Target="../media/image9.png"/><Relationship Id="rId2" Type="http://schemas.openxmlformats.org/officeDocument/2006/relationships/image" Target="../media/image2.png"/><Relationship Id="rId16" Type="http://schemas.openxmlformats.org/officeDocument/2006/relationships/image" Target="../media/image8.png"/><Relationship Id="rId1" Type="http://schemas.openxmlformats.org/officeDocument/2006/relationships/image" Target="../media/image1.png"/><Relationship Id="rId6" Type="http://schemas.openxmlformats.org/officeDocument/2006/relationships/chart" Target="../charts/chart3.xml"/><Relationship Id="rId11" Type="http://schemas.openxmlformats.org/officeDocument/2006/relationships/chart" Target="../charts/chart8.xml"/><Relationship Id="rId5" Type="http://schemas.openxmlformats.org/officeDocument/2006/relationships/chart" Target="../charts/chart2.xml"/><Relationship Id="rId15" Type="http://schemas.openxmlformats.org/officeDocument/2006/relationships/image" Target="../media/image7.png"/><Relationship Id="rId10" Type="http://schemas.openxmlformats.org/officeDocument/2006/relationships/chart" Target="../charts/chart7.xml"/><Relationship Id="rId4" Type="http://schemas.openxmlformats.org/officeDocument/2006/relationships/chart" Target="../charts/chart1.xml"/><Relationship Id="rId9" Type="http://schemas.openxmlformats.org/officeDocument/2006/relationships/chart" Target="../charts/chart6.xml"/><Relationship Id="rId14" Type="http://schemas.openxmlformats.org/officeDocument/2006/relationships/image" Target="../media/image6.png"/></Relationships>
</file>

<file path=xl/drawings/_rels/drawing2.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5" Type="http://schemas.openxmlformats.org/officeDocument/2006/relationships/image" Target="../media/image14.png"/><Relationship Id="rId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2</xdr:col>
      <xdr:colOff>7962</xdr:colOff>
      <xdr:row>15</xdr:row>
      <xdr:rowOff>35703</xdr:rowOff>
    </xdr:from>
    <xdr:to>
      <xdr:col>3</xdr:col>
      <xdr:colOff>1355910</xdr:colOff>
      <xdr:row>24</xdr:row>
      <xdr:rowOff>94690</xdr:rowOff>
    </xdr:to>
    <xdr:pic>
      <xdr:nvPicPr>
        <xdr:cNvPr id="1059" name="Picture 35"/>
        <xdr:cNvPicPr>
          <a:picLocks noChangeAspect="1" noChangeArrowheads="1"/>
        </xdr:cNvPicPr>
      </xdr:nvPicPr>
      <xdr:blipFill>
        <a:blip xmlns:r="http://schemas.openxmlformats.org/officeDocument/2006/relationships" r:embed="rId1" cstate="print"/>
        <a:srcRect/>
        <a:stretch>
          <a:fillRect/>
        </a:stretch>
      </xdr:blipFill>
      <xdr:spPr bwMode="auto">
        <a:xfrm>
          <a:off x="1117344" y="3307821"/>
          <a:ext cx="1953066" cy="1874340"/>
        </a:xfrm>
        <a:prstGeom prst="rect">
          <a:avLst/>
        </a:prstGeom>
        <a:noFill/>
        <a:ln w="1">
          <a:noFill/>
          <a:miter lim="800000"/>
          <a:headEnd/>
          <a:tailEnd type="none" w="med" len="med"/>
        </a:ln>
        <a:effectLst/>
      </xdr:spPr>
    </xdr:pic>
    <xdr:clientData/>
  </xdr:twoCellAnchor>
  <xdr:twoCellAnchor editAs="oneCell">
    <xdr:from>
      <xdr:col>5</xdr:col>
      <xdr:colOff>78441</xdr:colOff>
      <xdr:row>15</xdr:row>
      <xdr:rowOff>168088</xdr:rowOff>
    </xdr:from>
    <xdr:to>
      <xdr:col>10</xdr:col>
      <xdr:colOff>595768</xdr:colOff>
      <xdr:row>24</xdr:row>
      <xdr:rowOff>0</xdr:rowOff>
    </xdr:to>
    <xdr:pic>
      <xdr:nvPicPr>
        <xdr:cNvPr id="1061" name="Picture 37"/>
        <xdr:cNvPicPr>
          <a:picLocks noChangeAspect="1" noChangeArrowheads="1"/>
        </xdr:cNvPicPr>
      </xdr:nvPicPr>
      <xdr:blipFill>
        <a:blip xmlns:r="http://schemas.openxmlformats.org/officeDocument/2006/relationships" r:embed="rId2" cstate="print"/>
        <a:srcRect t="6712"/>
        <a:stretch>
          <a:fillRect/>
        </a:stretch>
      </xdr:blipFill>
      <xdr:spPr bwMode="auto">
        <a:xfrm>
          <a:off x="3944470" y="3529853"/>
          <a:ext cx="4461798" cy="1647265"/>
        </a:xfrm>
        <a:prstGeom prst="rect">
          <a:avLst/>
        </a:prstGeom>
        <a:noFill/>
        <a:ln w="1">
          <a:noFill/>
          <a:miter lim="800000"/>
          <a:headEnd/>
          <a:tailEnd type="none" w="med" len="med"/>
        </a:ln>
        <a:effectLst/>
      </xdr:spPr>
    </xdr:pic>
    <xdr:clientData/>
  </xdr:twoCellAnchor>
  <xdr:oneCellAnchor>
    <xdr:from>
      <xdr:col>6</xdr:col>
      <xdr:colOff>361950</xdr:colOff>
      <xdr:row>43</xdr:row>
      <xdr:rowOff>0</xdr:rowOff>
    </xdr:from>
    <xdr:ext cx="219075" cy="157162"/>
    <xdr:sp macro="" textlink="">
      <xdr:nvSpPr>
        <xdr:cNvPr id="6" name="TextBox 5"/>
        <xdr:cNvSpPr txBox="1"/>
      </xdr:nvSpPr>
      <xdr:spPr>
        <a:xfrm>
          <a:off x="4676775" y="9953625"/>
          <a:ext cx="219075" cy="1571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ctr">
          <a:noAutofit/>
        </a:bodyPr>
        <a:lstStyle/>
        <a:p>
          <a:endParaRPr lang="en-US" sz="1100" b="1"/>
        </a:p>
      </xdr:txBody>
    </xdr:sp>
    <xdr:clientData/>
  </xdr:oneCellAnchor>
  <xdr:twoCellAnchor>
    <xdr:from>
      <xdr:col>10</xdr:col>
      <xdr:colOff>347661</xdr:colOff>
      <xdr:row>13</xdr:row>
      <xdr:rowOff>0</xdr:rowOff>
    </xdr:from>
    <xdr:to>
      <xdr:col>10</xdr:col>
      <xdr:colOff>547686</xdr:colOff>
      <xdr:row>14</xdr:row>
      <xdr:rowOff>19050</xdr:rowOff>
    </xdr:to>
    <xdr:pic>
      <xdr:nvPicPr>
        <xdr:cNvPr id="9" name="Picture 11"/>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8277224" y="2714625"/>
          <a:ext cx="200025" cy="221456"/>
        </a:xfrm>
        <a:prstGeom prst="rect">
          <a:avLst/>
        </a:prstGeom>
        <a:noFill/>
      </xdr:spPr>
    </xdr:pic>
    <xdr:clientData/>
  </xdr:twoCellAnchor>
  <xdr:oneCellAnchor>
    <xdr:from>
      <xdr:col>6</xdr:col>
      <xdr:colOff>361950</xdr:colOff>
      <xdr:row>77</xdr:row>
      <xdr:rowOff>0</xdr:rowOff>
    </xdr:from>
    <xdr:ext cx="219075" cy="157162"/>
    <xdr:sp macro="" textlink="">
      <xdr:nvSpPr>
        <xdr:cNvPr id="15" name="TextBox 14"/>
        <xdr:cNvSpPr txBox="1"/>
      </xdr:nvSpPr>
      <xdr:spPr>
        <a:xfrm>
          <a:off x="4676775" y="18468975"/>
          <a:ext cx="219075" cy="1571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ctr">
          <a:noAutofit/>
        </a:bodyPr>
        <a:lstStyle/>
        <a:p>
          <a:endParaRPr lang="en-US" sz="1100" b="1"/>
        </a:p>
      </xdr:txBody>
    </xdr:sp>
    <xdr:clientData/>
  </xdr:oneCellAnchor>
  <xdr:oneCellAnchor>
    <xdr:from>
      <xdr:col>6</xdr:col>
      <xdr:colOff>361950</xdr:colOff>
      <xdr:row>78</xdr:row>
      <xdr:rowOff>0</xdr:rowOff>
    </xdr:from>
    <xdr:ext cx="219075" cy="157162"/>
    <xdr:sp macro="" textlink="">
      <xdr:nvSpPr>
        <xdr:cNvPr id="16" name="TextBox 15"/>
        <xdr:cNvSpPr txBox="1"/>
      </xdr:nvSpPr>
      <xdr:spPr>
        <a:xfrm>
          <a:off x="4676775" y="18821400"/>
          <a:ext cx="219075" cy="1571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ctr">
          <a:noAutofit/>
        </a:bodyPr>
        <a:lstStyle/>
        <a:p>
          <a:endParaRPr lang="en-US" sz="1100" b="1"/>
        </a:p>
      </xdr:txBody>
    </xdr:sp>
    <xdr:clientData/>
  </xdr:oneCellAnchor>
  <xdr:twoCellAnchor>
    <xdr:from>
      <xdr:col>1</xdr:col>
      <xdr:colOff>56029</xdr:colOff>
      <xdr:row>30</xdr:row>
      <xdr:rowOff>33618</xdr:rowOff>
    </xdr:from>
    <xdr:to>
      <xdr:col>4</xdr:col>
      <xdr:colOff>661148</xdr:colOff>
      <xdr:row>42</xdr:row>
      <xdr:rowOff>200025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78442</xdr:colOff>
      <xdr:row>30</xdr:row>
      <xdr:rowOff>56030</xdr:rowOff>
    </xdr:from>
    <xdr:to>
      <xdr:col>8</xdr:col>
      <xdr:colOff>851648</xdr:colOff>
      <xdr:row>42</xdr:row>
      <xdr:rowOff>190500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44824</xdr:colOff>
      <xdr:row>30</xdr:row>
      <xdr:rowOff>78442</xdr:rowOff>
    </xdr:from>
    <xdr:to>
      <xdr:col>13</xdr:col>
      <xdr:colOff>56029</xdr:colOff>
      <xdr:row>42</xdr:row>
      <xdr:rowOff>212912</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78440</xdr:colOff>
      <xdr:row>30</xdr:row>
      <xdr:rowOff>76200</xdr:rowOff>
    </xdr:from>
    <xdr:to>
      <xdr:col>16</xdr:col>
      <xdr:colOff>714375</xdr:colOff>
      <xdr:row>42</xdr:row>
      <xdr:rowOff>212913</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28014</xdr:colOff>
      <xdr:row>64</xdr:row>
      <xdr:rowOff>40823</xdr:rowOff>
    </xdr:from>
    <xdr:to>
      <xdr:col>4</xdr:col>
      <xdr:colOff>680357</xdr:colOff>
      <xdr:row>76</xdr:row>
      <xdr:rowOff>228601</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38099</xdr:colOff>
      <xdr:row>64</xdr:row>
      <xdr:rowOff>47625</xdr:rowOff>
    </xdr:from>
    <xdr:to>
      <xdr:col>8</xdr:col>
      <xdr:colOff>819150</xdr:colOff>
      <xdr:row>76</xdr:row>
      <xdr:rowOff>231321</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38100</xdr:colOff>
      <xdr:row>64</xdr:row>
      <xdr:rowOff>57150</xdr:rowOff>
    </xdr:from>
    <xdr:to>
      <xdr:col>12</xdr:col>
      <xdr:colOff>762000</xdr:colOff>
      <xdr:row>76</xdr:row>
      <xdr:rowOff>238125</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13</xdr:col>
      <xdr:colOff>57150</xdr:colOff>
      <xdr:row>64</xdr:row>
      <xdr:rowOff>47626</xdr:rowOff>
    </xdr:from>
    <xdr:to>
      <xdr:col>16</xdr:col>
      <xdr:colOff>723900</xdr:colOff>
      <xdr:row>76</xdr:row>
      <xdr:rowOff>228920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6</xdr:col>
      <xdr:colOff>169491</xdr:colOff>
      <xdr:row>4</xdr:row>
      <xdr:rowOff>116262</xdr:rowOff>
    </xdr:from>
    <xdr:to>
      <xdr:col>8</xdr:col>
      <xdr:colOff>117663</xdr:colOff>
      <xdr:row>13</xdr:row>
      <xdr:rowOff>113232</xdr:rowOff>
    </xdr:to>
    <xdr:pic>
      <xdr:nvPicPr>
        <xdr:cNvPr id="26" name="Picture 25" descr="GRP Excel.bmp"/>
        <xdr:cNvPicPr>
          <a:picLocks noChangeAspect="1"/>
        </xdr:cNvPicPr>
      </xdr:nvPicPr>
      <xdr:blipFill>
        <a:blip xmlns:r="http://schemas.openxmlformats.org/officeDocument/2006/relationships" r:embed="rId12" cstate="print"/>
        <a:srcRect r="71538" b="50585"/>
        <a:stretch>
          <a:fillRect/>
        </a:stretch>
      </xdr:blipFill>
      <xdr:spPr>
        <a:xfrm>
          <a:off x="4735888" y="934291"/>
          <a:ext cx="1696290" cy="1879559"/>
        </a:xfrm>
        <a:prstGeom prst="rect">
          <a:avLst/>
        </a:prstGeom>
      </xdr:spPr>
    </xdr:pic>
    <xdr:clientData fPrintsWithSheet="0"/>
  </xdr:twoCellAnchor>
  <xdr:twoCellAnchor editAs="oneCell">
    <xdr:from>
      <xdr:col>11</xdr:col>
      <xdr:colOff>481851</xdr:colOff>
      <xdr:row>15</xdr:row>
      <xdr:rowOff>100852</xdr:rowOff>
    </xdr:from>
    <xdr:to>
      <xdr:col>15</xdr:col>
      <xdr:colOff>904371</xdr:colOff>
      <xdr:row>24</xdr:row>
      <xdr:rowOff>26562</xdr:rowOff>
    </xdr:to>
    <xdr:pic>
      <xdr:nvPicPr>
        <xdr:cNvPr id="1060" name="Picture 36"/>
        <xdr:cNvPicPr>
          <a:picLocks noChangeAspect="1" noChangeArrowheads="1"/>
        </xdr:cNvPicPr>
      </xdr:nvPicPr>
      <xdr:blipFill>
        <a:blip xmlns:r="http://schemas.openxmlformats.org/officeDocument/2006/relationships" r:embed="rId13" cstate="print"/>
        <a:srcRect t="8137"/>
        <a:stretch>
          <a:fillRect/>
        </a:stretch>
      </xdr:blipFill>
      <xdr:spPr bwMode="auto">
        <a:xfrm>
          <a:off x="8639733" y="3372970"/>
          <a:ext cx="4220893" cy="1741063"/>
        </a:xfrm>
        <a:prstGeom prst="rect">
          <a:avLst/>
        </a:prstGeom>
        <a:noFill/>
        <a:ln w="1">
          <a:noFill/>
          <a:miter lim="800000"/>
          <a:headEnd/>
          <a:tailEnd type="none" w="med" len="med"/>
        </a:ln>
        <a:effectLst/>
      </xdr:spPr>
    </xdr:pic>
    <xdr:clientData/>
  </xdr:twoCellAnchor>
  <xdr:twoCellAnchor editAs="oneCell">
    <xdr:from>
      <xdr:col>5</xdr:col>
      <xdr:colOff>523947</xdr:colOff>
      <xdr:row>45</xdr:row>
      <xdr:rowOff>56029</xdr:rowOff>
    </xdr:from>
    <xdr:to>
      <xdr:col>8</xdr:col>
      <xdr:colOff>265459</xdr:colOff>
      <xdr:row>54</xdr:row>
      <xdr:rowOff>112059</xdr:rowOff>
    </xdr:to>
    <xdr:pic>
      <xdr:nvPicPr>
        <xdr:cNvPr id="1063" name="Picture 39"/>
        <xdr:cNvPicPr>
          <a:picLocks noChangeAspect="1" noChangeArrowheads="1"/>
        </xdr:cNvPicPr>
      </xdr:nvPicPr>
      <xdr:blipFill>
        <a:blip xmlns:r="http://schemas.openxmlformats.org/officeDocument/2006/relationships" r:embed="rId14" cstate="print"/>
        <a:srcRect b="3880"/>
        <a:stretch>
          <a:fillRect/>
        </a:stretch>
      </xdr:blipFill>
      <xdr:spPr bwMode="auto">
        <a:xfrm>
          <a:off x="4389976" y="11015382"/>
          <a:ext cx="2094748" cy="1871383"/>
        </a:xfrm>
        <a:prstGeom prst="rect">
          <a:avLst/>
        </a:prstGeom>
        <a:noFill/>
        <a:ln w="1">
          <a:noFill/>
          <a:miter lim="800000"/>
          <a:headEnd/>
          <a:tailEnd type="none" w="med" len="med"/>
        </a:ln>
        <a:effectLst/>
      </xdr:spPr>
    </xdr:pic>
    <xdr:clientData/>
  </xdr:twoCellAnchor>
  <xdr:twoCellAnchor editAs="oneCell">
    <xdr:from>
      <xdr:col>9</xdr:col>
      <xdr:colOff>381000</xdr:colOff>
      <xdr:row>45</xdr:row>
      <xdr:rowOff>100853</xdr:rowOff>
    </xdr:from>
    <xdr:to>
      <xdr:col>12</xdr:col>
      <xdr:colOff>402848</xdr:colOff>
      <xdr:row>53</xdr:row>
      <xdr:rowOff>143434</xdr:rowOff>
    </xdr:to>
    <xdr:pic>
      <xdr:nvPicPr>
        <xdr:cNvPr id="1064" name="Picture 40"/>
        <xdr:cNvPicPr>
          <a:picLocks noChangeAspect="1" noChangeArrowheads="1"/>
        </xdr:cNvPicPr>
      </xdr:nvPicPr>
      <xdr:blipFill>
        <a:blip xmlns:r="http://schemas.openxmlformats.org/officeDocument/2006/relationships" r:embed="rId15" cstate="print"/>
        <a:srcRect/>
        <a:stretch>
          <a:fillRect/>
        </a:stretch>
      </xdr:blipFill>
      <xdr:spPr bwMode="auto">
        <a:xfrm>
          <a:off x="7205382" y="10959353"/>
          <a:ext cx="2341465" cy="1656228"/>
        </a:xfrm>
        <a:prstGeom prst="rect">
          <a:avLst/>
        </a:prstGeom>
        <a:noFill/>
        <a:ln w="1">
          <a:noFill/>
          <a:miter lim="800000"/>
          <a:headEnd/>
          <a:tailEnd type="none" w="med" len="med"/>
        </a:ln>
        <a:effectLst/>
      </xdr:spPr>
    </xdr:pic>
    <xdr:clientData/>
  </xdr:twoCellAnchor>
  <xdr:twoCellAnchor editAs="oneCell">
    <xdr:from>
      <xdr:col>13</xdr:col>
      <xdr:colOff>257736</xdr:colOff>
      <xdr:row>46</xdr:row>
      <xdr:rowOff>168087</xdr:rowOff>
    </xdr:from>
    <xdr:to>
      <xdr:col>16</xdr:col>
      <xdr:colOff>78864</xdr:colOff>
      <xdr:row>53</xdr:row>
      <xdr:rowOff>134469</xdr:rowOff>
    </xdr:to>
    <xdr:pic>
      <xdr:nvPicPr>
        <xdr:cNvPr id="1066" name="Picture 42"/>
        <xdr:cNvPicPr>
          <a:picLocks noChangeAspect="1" noChangeArrowheads="1"/>
        </xdr:cNvPicPr>
      </xdr:nvPicPr>
      <xdr:blipFill>
        <a:blip xmlns:r="http://schemas.openxmlformats.org/officeDocument/2006/relationships" r:embed="rId16" cstate="print"/>
        <a:srcRect r="4316"/>
        <a:stretch>
          <a:fillRect/>
        </a:stretch>
      </xdr:blipFill>
      <xdr:spPr bwMode="auto">
        <a:xfrm>
          <a:off x="10141324" y="11228293"/>
          <a:ext cx="2767854" cy="1378323"/>
        </a:xfrm>
        <a:prstGeom prst="rect">
          <a:avLst/>
        </a:prstGeom>
        <a:noFill/>
        <a:ln w="1">
          <a:noFill/>
          <a:miter lim="800000"/>
          <a:headEnd/>
          <a:tailEnd type="none" w="med" len="med"/>
        </a:ln>
        <a:effectLst/>
      </xdr:spPr>
    </xdr:pic>
    <xdr:clientData/>
  </xdr:twoCellAnchor>
  <xdr:oneCellAnchor>
    <xdr:from>
      <xdr:col>6</xdr:col>
      <xdr:colOff>361950</xdr:colOff>
      <xdr:row>78</xdr:row>
      <xdr:rowOff>0</xdr:rowOff>
    </xdr:from>
    <xdr:ext cx="219075" cy="157162"/>
    <xdr:sp macro="" textlink="">
      <xdr:nvSpPr>
        <xdr:cNvPr id="22" name="TextBox 21"/>
        <xdr:cNvSpPr txBox="1"/>
      </xdr:nvSpPr>
      <xdr:spPr>
        <a:xfrm>
          <a:off x="4848225" y="18992850"/>
          <a:ext cx="219075" cy="1571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ctr">
          <a:noAutofit/>
        </a:bodyPr>
        <a:lstStyle/>
        <a:p>
          <a:endParaRPr lang="en-US" sz="1100" b="1"/>
        </a:p>
      </xdr:txBody>
    </xdr:sp>
    <xdr:clientData/>
  </xdr:oneCellAnchor>
  <xdr:twoCellAnchor editAs="oneCell">
    <xdr:from>
      <xdr:col>2</xdr:col>
      <xdr:colOff>66675</xdr:colOff>
      <xdr:row>45</xdr:row>
      <xdr:rowOff>123826</xdr:rowOff>
    </xdr:from>
    <xdr:to>
      <xdr:col>3</xdr:col>
      <xdr:colOff>1314450</xdr:colOff>
      <xdr:row>54</xdr:row>
      <xdr:rowOff>34284</xdr:rowOff>
    </xdr:to>
    <xdr:pic>
      <xdr:nvPicPr>
        <xdr:cNvPr id="27" name="Picture 26" descr="GRP 8.bmp"/>
        <xdr:cNvPicPr>
          <a:picLocks noChangeAspect="1"/>
        </xdr:cNvPicPr>
      </xdr:nvPicPr>
      <xdr:blipFill>
        <a:blip xmlns:r="http://schemas.openxmlformats.org/officeDocument/2006/relationships" r:embed="rId17" cstate="print"/>
        <a:stretch>
          <a:fillRect/>
        </a:stretch>
      </xdr:blipFill>
      <xdr:spPr>
        <a:xfrm>
          <a:off x="1181100" y="11649076"/>
          <a:ext cx="1857375" cy="1710683"/>
        </a:xfrm>
        <a:prstGeom prst="rect">
          <a:avLst/>
        </a:prstGeom>
      </xdr:spPr>
    </xdr:pic>
    <xdr:clientData/>
  </xdr:twoCellAnchor>
  <mc:AlternateContent xmlns:mc="http://schemas.openxmlformats.org/markup-compatibility/2006">
    <mc:Choice xmlns:a14="http://schemas.microsoft.com/office/drawing/2010/main" Requires="a14">
      <xdr:twoCellAnchor>
        <xdr:from>
          <xdr:col>9</xdr:col>
          <xdr:colOff>57150</xdr:colOff>
          <xdr:row>30</xdr:row>
          <xdr:rowOff>66675</xdr:rowOff>
        </xdr:from>
        <xdr:to>
          <xdr:col>13</xdr:col>
          <xdr:colOff>19050</xdr:colOff>
          <xdr:row>42</xdr:row>
          <xdr:rowOff>200025</xdr:rowOff>
        </xdr:to>
        <xdr:grpSp>
          <xdr:nvGrpSpPr>
            <xdr:cNvPr id="1067" name="Group 43"/>
            <xdr:cNvGrpSpPr>
              <a:grpSpLocks/>
            </xdr:cNvGrpSpPr>
          </xdr:nvGrpSpPr>
          <xdr:grpSpPr bwMode="auto">
            <a:xfrm>
              <a:off x="7248525" y="7484269"/>
              <a:ext cx="3117056" cy="3133725"/>
              <a:chOff x="752" y="778"/>
              <a:chExt cx="327" cy="326"/>
            </a:xfrm>
          </xdr:grpSpPr>
          <xdr:sp macro="" textlink="">
            <xdr:nvSpPr>
              <xdr:cNvPr id="1054" name="Group Box 30" hidden="1">
                <a:extLst>
                  <a:ext uri="{63B3BB69-23CF-44E3-9099-C40C66FF867C}">
                    <a14:compatExt spid="_x0000_s1054"/>
                  </a:ext>
                </a:extLst>
              </xdr:cNvPr>
              <xdr:cNvSpPr/>
            </xdr:nvSpPr>
            <xdr:spPr bwMode="auto">
              <a:xfrm>
                <a:off x="752" y="778"/>
                <a:ext cx="327" cy="326"/>
              </a:xfrm>
              <a:prstGeom prst="rect">
                <a:avLst/>
              </a:prstGeom>
              <a:noFill/>
              <a:ln>
                <a:noFill/>
              </a:ln>
              <a:extLst>
                <a:ext uri="{909E8E84-426E-40DD-AFC4-6F175D3DCCD1}">
                  <a14:hiddenFill>
                    <a:noFill/>
                  </a14:hiddenFill>
                </a:ext>
                <a:ext uri="{91240B29-F687-4F45-9708-019B960494DF}">
                  <a14:hiddenLine w="0">
                    <a:noFill/>
                    <a:miter lim="800000"/>
                    <a:headEnd/>
                    <a:tailEnd/>
                  </a14:hiddenLine>
                </a:ext>
              </a:extLst>
            </xdr:spPr>
          </xdr:sp>
          <xdr:sp macro="" textlink="">
            <xdr:nvSpPr>
              <xdr:cNvPr id="1055" name="Option Button 31" hidden="1">
                <a:extLst>
                  <a:ext uri="{63B3BB69-23CF-44E3-9099-C40C66FF867C}">
                    <a14:compatExt spid="_x0000_s1055"/>
                  </a:ext>
                </a:extLst>
              </xdr:cNvPr>
              <xdr:cNvSpPr/>
            </xdr:nvSpPr>
            <xdr:spPr bwMode="auto">
              <a:xfrm>
                <a:off x="1010" y="783"/>
                <a:ext cx="58" cy="23"/>
              </a:xfrm>
              <a:prstGeom prst="rect">
                <a:avLst/>
              </a:prstGeom>
              <a:solidFill>
                <a:srgbClr val="FFFFFF" mc:Ignorable="a14" a14:legacySpreadsheetColorIndex="65"/>
              </a:solidFill>
              <a:ln>
                <a:noFill/>
              </a:ln>
              <a:extLst>
                <a:ext uri="{91240B29-F687-4F45-9708-019B960494DF}">
                  <a14:hiddenLine w="0" cap="rnd">
                    <a:solidFill>
                      <a:srgbClr val="FFFFFF" mc:Ignorable="a14" a14:legacySpreadsheetColorIndex="9"/>
                    </a:solidFill>
                    <a:prstDash val="sysDot"/>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St vs L</a:t>
                </a:r>
              </a:p>
            </xdr:txBody>
          </xdr:sp>
          <xdr:sp macro="" textlink="">
            <xdr:nvSpPr>
              <xdr:cNvPr id="1056" name="Option Button 32" hidden="1">
                <a:extLst>
                  <a:ext uri="{63B3BB69-23CF-44E3-9099-C40C66FF867C}">
                    <a14:compatExt spid="_x0000_s1056"/>
                  </a:ext>
                </a:extLst>
              </xdr:cNvPr>
              <xdr:cNvSpPr/>
            </xdr:nvSpPr>
            <xdr:spPr bwMode="auto">
              <a:xfrm>
                <a:off x="1009" y="807"/>
                <a:ext cx="68" cy="23"/>
              </a:xfrm>
              <a:prstGeom prst="rect">
                <a:avLst/>
              </a:prstGeom>
              <a:solidFill>
                <a:srgbClr val="FFFFFF" mc:Ignorable="a14" a14:legacySpreadsheetColorIndex="65"/>
              </a:solidFill>
              <a:ln>
                <a:noFill/>
              </a:ln>
              <a:extLst>
                <a:ext uri="{91240B29-F687-4F45-9708-019B960494DF}">
                  <a14:hiddenLine w="0" cap="rnd">
                    <a:solidFill>
                      <a:srgbClr val="FFFFFF" mc:Ignorable="a14" a14:legacySpreadsheetColorIndex="9"/>
                    </a:solidFill>
                    <a:prstDash val="sysDot"/>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St vs T</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1009650</xdr:colOff>
          <xdr:row>26</xdr:row>
          <xdr:rowOff>66675</xdr:rowOff>
        </xdr:from>
        <xdr:to>
          <xdr:col>4</xdr:col>
          <xdr:colOff>676275</xdr:colOff>
          <xdr:row>26</xdr:row>
          <xdr:rowOff>352425</xdr:rowOff>
        </xdr:to>
        <xdr:sp macro="" textlink="">
          <xdr:nvSpPr>
            <xdr:cNvPr id="1031" name="Drop Down 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25</xdr:row>
          <xdr:rowOff>57150</xdr:rowOff>
        </xdr:from>
        <xdr:to>
          <xdr:col>8</xdr:col>
          <xdr:colOff>819150</xdr:colOff>
          <xdr:row>25</xdr:row>
          <xdr:rowOff>333375</xdr:rowOff>
        </xdr:to>
        <xdr:sp macro="" textlink="">
          <xdr:nvSpPr>
            <xdr:cNvPr id="1033" name="Drop Down 9"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1485900</xdr:colOff>
          <xdr:row>56</xdr:row>
          <xdr:rowOff>19050</xdr:rowOff>
        </xdr:from>
        <xdr:to>
          <xdr:col>4</xdr:col>
          <xdr:colOff>676275</xdr:colOff>
          <xdr:row>56</xdr:row>
          <xdr:rowOff>285750</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1133475</xdr:colOff>
          <xdr:row>56</xdr:row>
          <xdr:rowOff>19050</xdr:rowOff>
        </xdr:from>
        <xdr:to>
          <xdr:col>8</xdr:col>
          <xdr:colOff>828675</xdr:colOff>
          <xdr:row>56</xdr:row>
          <xdr:rowOff>285750</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56</xdr:row>
          <xdr:rowOff>28575</xdr:rowOff>
        </xdr:from>
        <xdr:to>
          <xdr:col>12</xdr:col>
          <xdr:colOff>790575</xdr:colOff>
          <xdr:row>56</xdr:row>
          <xdr:rowOff>276225</xdr:rowOff>
        </xdr:to>
        <xdr:sp macro="" textlink="">
          <xdr:nvSpPr>
            <xdr:cNvPr id="1039" name="Drop Down 15"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1314450</xdr:colOff>
          <xdr:row>56</xdr:row>
          <xdr:rowOff>19050</xdr:rowOff>
        </xdr:from>
        <xdr:to>
          <xdr:col>16</xdr:col>
          <xdr:colOff>742950</xdr:colOff>
          <xdr:row>56</xdr:row>
          <xdr:rowOff>276225</xdr:rowOff>
        </xdr:to>
        <xdr:sp macro="" textlink="">
          <xdr:nvSpPr>
            <xdr:cNvPr id="1041" name="Drop Down 17"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30</xdr:row>
          <xdr:rowOff>57150</xdr:rowOff>
        </xdr:from>
        <xdr:to>
          <xdr:col>8</xdr:col>
          <xdr:colOff>838200</xdr:colOff>
          <xdr:row>42</xdr:row>
          <xdr:rowOff>190500</xdr:rowOff>
        </xdr:to>
        <xdr:grpSp>
          <xdr:nvGrpSpPr>
            <xdr:cNvPr id="1062" name="Group 38"/>
            <xdr:cNvGrpSpPr>
              <a:grpSpLocks/>
            </xdr:cNvGrpSpPr>
          </xdr:nvGrpSpPr>
          <xdr:grpSpPr bwMode="auto">
            <a:xfrm>
              <a:off x="4021931" y="7474744"/>
              <a:ext cx="3138488" cy="3133725"/>
              <a:chOff x="414" y="729"/>
              <a:chExt cx="329" cy="324"/>
            </a:xfrm>
          </xdr:grpSpPr>
          <xdr:sp macro="" textlink="">
            <xdr:nvSpPr>
              <xdr:cNvPr id="1047" name="Option Button 23" hidden="1">
                <a:extLst>
                  <a:ext uri="{63B3BB69-23CF-44E3-9099-C40C66FF867C}">
                    <a14:compatExt spid="_x0000_s1047"/>
                  </a:ext>
                </a:extLst>
              </xdr:cNvPr>
              <xdr:cNvSpPr/>
            </xdr:nvSpPr>
            <xdr:spPr bwMode="auto">
              <a:xfrm>
                <a:off x="675" y="760"/>
                <a:ext cx="6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Fa VS D</a:t>
                </a:r>
              </a:p>
            </xdr:txBody>
          </xdr:sp>
          <xdr:sp macro="" textlink="">
            <xdr:nvSpPr>
              <xdr:cNvPr id="1048" name="Option Button 24" hidden="1">
                <a:extLst>
                  <a:ext uri="{63B3BB69-23CF-44E3-9099-C40C66FF867C}">
                    <a14:compatExt spid="_x0000_s1048"/>
                  </a:ext>
                </a:extLst>
              </xdr:cNvPr>
              <xdr:cNvSpPr/>
            </xdr:nvSpPr>
            <xdr:spPr bwMode="auto">
              <a:xfrm>
                <a:off x="676" y="735"/>
                <a:ext cx="6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Tahoma"/>
                    <a:ea typeface="Tahoma"/>
                    <a:cs typeface="Tahoma"/>
                  </a:rPr>
                  <a:t>Fa VS L</a:t>
                </a:r>
              </a:p>
            </xdr:txBody>
          </xdr:sp>
          <xdr:sp macro="" textlink="">
            <xdr:nvSpPr>
              <xdr:cNvPr id="2" name="Group Box 36" hidden="1">
                <a:extLst>
                  <a:ext uri="{63B3BB69-23CF-44E3-9099-C40C66FF867C}">
                    <a14:compatExt spid="_x0000_s1060"/>
                  </a:ext>
                </a:extLst>
              </xdr:cNvPr>
              <xdr:cNvSpPr/>
            </xdr:nvSpPr>
            <xdr:spPr bwMode="auto">
              <a:xfrm>
                <a:off x="414" y="729"/>
                <a:ext cx="329" cy="32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132069</xdr:colOff>
      <xdr:row>16</xdr:row>
      <xdr:rowOff>42421</xdr:rowOff>
    </xdr:from>
    <xdr:to>
      <xdr:col>1</xdr:col>
      <xdr:colOff>351144</xdr:colOff>
      <xdr:row>16</xdr:row>
      <xdr:rowOff>261496</xdr:rowOff>
    </xdr:to>
    <xdr:pic>
      <xdr:nvPicPr>
        <xdr:cNvPr id="2" name="Picture 18"/>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2581355" y="8737385"/>
          <a:ext cx="219075" cy="219075"/>
        </a:xfrm>
        <a:prstGeom prst="rect">
          <a:avLst/>
        </a:prstGeom>
        <a:noFill/>
      </xdr:spPr>
    </xdr:pic>
    <xdr:clientData/>
  </xdr:twoCellAnchor>
  <xdr:twoCellAnchor>
    <xdr:from>
      <xdr:col>1</xdr:col>
      <xdr:colOff>56029</xdr:colOff>
      <xdr:row>19</xdr:row>
      <xdr:rowOff>78440</xdr:rowOff>
    </xdr:from>
    <xdr:to>
      <xdr:col>1</xdr:col>
      <xdr:colOff>275104</xdr:colOff>
      <xdr:row>19</xdr:row>
      <xdr:rowOff>297515</xdr:rowOff>
    </xdr:to>
    <xdr:pic>
      <xdr:nvPicPr>
        <xdr:cNvPr id="4" name="Picture 17"/>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2476500" y="10376646"/>
          <a:ext cx="219075" cy="219075"/>
        </a:xfrm>
        <a:prstGeom prst="rect">
          <a:avLst/>
        </a:prstGeom>
        <a:noFill/>
      </xdr:spPr>
    </xdr:pic>
    <xdr:clientData/>
  </xdr:twoCellAnchor>
  <xdr:twoCellAnchor>
    <xdr:from>
      <xdr:col>1</xdr:col>
      <xdr:colOff>112060</xdr:colOff>
      <xdr:row>20</xdr:row>
      <xdr:rowOff>190499</xdr:rowOff>
    </xdr:from>
    <xdr:to>
      <xdr:col>1</xdr:col>
      <xdr:colOff>426385</xdr:colOff>
      <xdr:row>20</xdr:row>
      <xdr:rowOff>409574</xdr:rowOff>
    </xdr:to>
    <xdr:pic>
      <xdr:nvPicPr>
        <xdr:cNvPr id="6" name="Picture 15"/>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2532531" y="11071411"/>
          <a:ext cx="314325" cy="219075"/>
        </a:xfrm>
        <a:prstGeom prst="rect">
          <a:avLst/>
        </a:prstGeom>
        <a:noFill/>
      </xdr:spPr>
    </xdr:pic>
    <xdr:clientData/>
  </xdr:twoCellAnchor>
  <xdr:twoCellAnchor>
    <xdr:from>
      <xdr:col>1</xdr:col>
      <xdr:colOff>134471</xdr:colOff>
      <xdr:row>24</xdr:row>
      <xdr:rowOff>168089</xdr:rowOff>
    </xdr:from>
    <xdr:to>
      <xdr:col>1</xdr:col>
      <xdr:colOff>534521</xdr:colOff>
      <xdr:row>24</xdr:row>
      <xdr:rowOff>388846</xdr:rowOff>
    </xdr:to>
    <xdr:pic>
      <xdr:nvPicPr>
        <xdr:cNvPr id="9" name="Picture 9"/>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2554942" y="12797118"/>
          <a:ext cx="400050" cy="220757"/>
        </a:xfrm>
        <a:prstGeom prst="rect">
          <a:avLst/>
        </a:prstGeom>
        <a:noFill/>
      </xdr:spPr>
    </xdr:pic>
    <xdr:clientData/>
  </xdr:twoCellAnchor>
  <xdr:twoCellAnchor>
    <xdr:from>
      <xdr:col>1</xdr:col>
      <xdr:colOff>246530</xdr:colOff>
      <xdr:row>25</xdr:row>
      <xdr:rowOff>168088</xdr:rowOff>
    </xdr:from>
    <xdr:to>
      <xdr:col>1</xdr:col>
      <xdr:colOff>560855</xdr:colOff>
      <xdr:row>25</xdr:row>
      <xdr:rowOff>387163</xdr:rowOff>
    </xdr:to>
    <xdr:pic>
      <xdr:nvPicPr>
        <xdr:cNvPr id="11" name="Picture 13"/>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2667001" y="13346206"/>
          <a:ext cx="314325" cy="219075"/>
        </a:xfrm>
        <a:prstGeom prst="rect">
          <a:avLst/>
        </a:prstGeom>
        <a:noFill/>
      </xdr:spPr>
    </xdr:pic>
    <xdr:clientData/>
  </xdr:twoCellAnchor>
  <xdr:twoCellAnchor>
    <xdr:from>
      <xdr:col>2</xdr:col>
      <xdr:colOff>1646464</xdr:colOff>
      <xdr:row>21</xdr:row>
      <xdr:rowOff>176893</xdr:rowOff>
    </xdr:from>
    <xdr:to>
      <xdr:col>2</xdr:col>
      <xdr:colOff>1865539</xdr:colOff>
      <xdr:row>21</xdr:row>
      <xdr:rowOff>395968</xdr:rowOff>
    </xdr:to>
    <xdr:pic>
      <xdr:nvPicPr>
        <xdr:cNvPr id="7" name="Picture 17"/>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6381750" y="12069536"/>
          <a:ext cx="219075" cy="219075"/>
        </a:xfrm>
        <a:prstGeom prst="rect">
          <a:avLst/>
        </a:prstGeom>
        <a:noFill/>
      </xdr:spPr>
    </xdr:pic>
    <xdr:clientData/>
  </xdr:twoCellAnchor>
  <xdr:twoCellAnchor>
    <xdr:from>
      <xdr:col>2</xdr:col>
      <xdr:colOff>2109107</xdr:colOff>
      <xdr:row>21</xdr:row>
      <xdr:rowOff>204107</xdr:rowOff>
    </xdr:from>
    <xdr:to>
      <xdr:col>2</xdr:col>
      <xdr:colOff>2423432</xdr:colOff>
      <xdr:row>21</xdr:row>
      <xdr:rowOff>423182</xdr:rowOff>
    </xdr:to>
    <xdr:pic>
      <xdr:nvPicPr>
        <xdr:cNvPr id="8" name="Picture 15"/>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6844393" y="12096750"/>
          <a:ext cx="314325" cy="2190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S90"/>
  <sheetViews>
    <sheetView tabSelected="1" zoomScale="80" zoomScaleNormal="80" workbookViewId="0">
      <selection activeCell="Q12" sqref="Q12"/>
    </sheetView>
  </sheetViews>
  <sheetFormatPr defaultRowHeight="15" x14ac:dyDescent="0.25"/>
  <cols>
    <col min="1" max="1" width="7.5703125" customWidth="1"/>
    <col min="4" max="4" width="23" customWidth="1"/>
    <col min="5" max="5" width="10.7109375" style="30" customWidth="1"/>
    <col min="8" max="8" width="17.140625" customWidth="1"/>
    <col min="9" max="9" width="13" style="30" customWidth="1"/>
    <col min="10" max="10" width="11" customWidth="1"/>
    <col min="12" max="12" width="14.85546875" customWidth="1"/>
    <col min="13" max="13" width="12.28515625" style="30" customWidth="1"/>
    <col min="14" max="14" width="8.85546875" customWidth="1"/>
    <col min="15" max="15" width="21" customWidth="1"/>
    <col min="16" max="16" width="14.28515625" customWidth="1"/>
    <col min="17" max="17" width="11.5703125" style="30" customWidth="1"/>
    <col min="18" max="18" width="8.42578125" customWidth="1"/>
  </cols>
  <sheetData>
    <row r="1" spans="1:18" ht="16.5" customHeight="1" thickTop="1" thickBot="1" x14ac:dyDescent="0.3">
      <c r="A1" s="217" t="s">
        <v>221</v>
      </c>
      <c r="B1" s="218"/>
      <c r="C1" s="218"/>
      <c r="D1" s="218"/>
      <c r="E1" s="219"/>
      <c r="F1" s="187" t="s">
        <v>31</v>
      </c>
      <c r="G1" s="188"/>
      <c r="H1" s="188"/>
      <c r="I1" s="188"/>
      <c r="J1" s="188"/>
      <c r="K1" s="188"/>
      <c r="L1" s="188"/>
      <c r="M1" s="189"/>
      <c r="N1" s="196" t="s">
        <v>241</v>
      </c>
      <c r="O1" s="197"/>
      <c r="P1" s="197"/>
      <c r="Q1" s="198"/>
      <c r="R1" s="1"/>
    </row>
    <row r="2" spans="1:18" ht="15.75" customHeight="1" thickBot="1" x14ac:dyDescent="0.3">
      <c r="A2" s="220"/>
      <c r="B2" s="221"/>
      <c r="C2" s="221"/>
      <c r="D2" s="221"/>
      <c r="E2" s="222"/>
      <c r="F2" s="190"/>
      <c r="G2" s="191"/>
      <c r="H2" s="191"/>
      <c r="I2" s="191"/>
      <c r="J2" s="191"/>
      <c r="K2" s="191"/>
      <c r="L2" s="191"/>
      <c r="M2" s="192"/>
      <c r="N2" s="199"/>
      <c r="O2" s="200"/>
      <c r="P2" s="200"/>
      <c r="Q2" s="201"/>
      <c r="R2" s="1"/>
    </row>
    <row r="3" spans="1:18" ht="15.75" customHeight="1" thickBot="1" x14ac:dyDescent="0.3">
      <c r="A3" s="223" t="s">
        <v>220</v>
      </c>
      <c r="B3" s="224"/>
      <c r="C3" s="224"/>
      <c r="D3" s="224"/>
      <c r="E3" s="225"/>
      <c r="F3" s="190"/>
      <c r="G3" s="191"/>
      <c r="H3" s="191"/>
      <c r="I3" s="191"/>
      <c r="J3" s="191"/>
      <c r="K3" s="191"/>
      <c r="L3" s="191"/>
      <c r="M3" s="192"/>
      <c r="N3" s="172" t="s">
        <v>0</v>
      </c>
      <c r="O3" s="173"/>
      <c r="P3" s="204" t="s">
        <v>1</v>
      </c>
      <c r="Q3" s="205"/>
      <c r="R3" s="1"/>
    </row>
    <row r="4" spans="1:18" ht="15.75" customHeight="1" thickBot="1" x14ac:dyDescent="0.3">
      <c r="A4" s="226"/>
      <c r="B4" s="227"/>
      <c r="C4" s="227"/>
      <c r="D4" s="227"/>
      <c r="E4" s="228"/>
      <c r="F4" s="193"/>
      <c r="G4" s="194"/>
      <c r="H4" s="194"/>
      <c r="I4" s="194"/>
      <c r="J4" s="194"/>
      <c r="K4" s="194"/>
      <c r="L4" s="194"/>
      <c r="M4" s="195"/>
      <c r="N4" s="202"/>
      <c r="O4" s="203"/>
      <c r="P4" s="206"/>
      <c r="Q4" s="207"/>
      <c r="R4" s="1"/>
    </row>
    <row r="5" spans="1:18" ht="16.5" thickTop="1" thickBot="1" x14ac:dyDescent="0.3">
      <c r="A5" s="166" t="s">
        <v>2</v>
      </c>
      <c r="B5" s="169" t="s">
        <v>3</v>
      </c>
      <c r="C5" s="170"/>
      <c r="D5" s="170"/>
      <c r="E5" s="171"/>
      <c r="F5" s="208"/>
      <c r="G5" s="209"/>
      <c r="H5" s="209"/>
      <c r="I5" s="210"/>
      <c r="J5" s="169" t="s">
        <v>21</v>
      </c>
      <c r="K5" s="170"/>
      <c r="L5" s="170"/>
      <c r="M5" s="171"/>
      <c r="N5" s="169" t="s">
        <v>4</v>
      </c>
      <c r="O5" s="170"/>
      <c r="P5" s="170"/>
      <c r="Q5" s="171"/>
      <c r="R5" s="1"/>
    </row>
    <row r="6" spans="1:18" ht="20.25" customHeight="1" thickBot="1" x14ac:dyDescent="0.3">
      <c r="A6" s="167"/>
      <c r="B6" s="172"/>
      <c r="C6" s="173"/>
      <c r="D6" s="173"/>
      <c r="E6" s="174"/>
      <c r="F6" s="211"/>
      <c r="G6" s="212"/>
      <c r="H6" s="212"/>
      <c r="I6" s="213"/>
      <c r="J6" s="172"/>
      <c r="K6" s="173"/>
      <c r="L6" s="173"/>
      <c r="M6" s="174"/>
      <c r="N6" s="172"/>
      <c r="O6" s="173"/>
      <c r="P6" s="173"/>
      <c r="Q6" s="174"/>
      <c r="R6" s="1"/>
    </row>
    <row r="7" spans="1:18" ht="15.75" thickBot="1" x14ac:dyDescent="0.3">
      <c r="A7" s="167"/>
      <c r="B7" s="175" t="s">
        <v>132</v>
      </c>
      <c r="C7" s="176"/>
      <c r="D7" s="176"/>
      <c r="E7" s="93">
        <v>262.89999999999998</v>
      </c>
      <c r="F7" s="211"/>
      <c r="G7" s="212"/>
      <c r="H7" s="212"/>
      <c r="I7" s="213"/>
      <c r="J7" s="175" t="s">
        <v>18</v>
      </c>
      <c r="K7" s="176"/>
      <c r="L7" s="176"/>
      <c r="M7" s="96">
        <v>25200</v>
      </c>
      <c r="N7" s="175" t="s">
        <v>242</v>
      </c>
      <c r="O7" s="176"/>
      <c r="P7" s="176"/>
      <c r="Q7" s="96">
        <v>124</v>
      </c>
      <c r="R7" s="1"/>
    </row>
    <row r="8" spans="1:18" ht="15.75" thickBot="1" x14ac:dyDescent="0.3">
      <c r="A8" s="167"/>
      <c r="B8" s="175" t="s">
        <v>133</v>
      </c>
      <c r="C8" s="176"/>
      <c r="D8" s="176"/>
      <c r="E8" s="93">
        <v>3.5</v>
      </c>
      <c r="F8" s="211"/>
      <c r="G8" s="212"/>
      <c r="H8" s="212"/>
      <c r="I8" s="213"/>
      <c r="J8" s="175" t="s">
        <v>19</v>
      </c>
      <c r="K8" s="176"/>
      <c r="L8" s="176"/>
      <c r="M8" s="96">
        <v>12500</v>
      </c>
      <c r="N8" s="175" t="s">
        <v>243</v>
      </c>
      <c r="O8" s="176"/>
      <c r="P8" s="176"/>
      <c r="Q8" s="96">
        <v>45</v>
      </c>
      <c r="R8" s="1"/>
    </row>
    <row r="9" spans="1:18" ht="15.75" customHeight="1" thickBot="1" x14ac:dyDescent="0.3">
      <c r="A9" s="167"/>
      <c r="B9" s="175" t="s">
        <v>134</v>
      </c>
      <c r="C9" s="176"/>
      <c r="D9" s="176"/>
      <c r="E9" s="93">
        <v>3</v>
      </c>
      <c r="F9" s="211"/>
      <c r="G9" s="212"/>
      <c r="H9" s="212"/>
      <c r="I9" s="213"/>
      <c r="J9" s="175" t="s">
        <v>20</v>
      </c>
      <c r="K9" s="176"/>
      <c r="L9" s="176"/>
      <c r="M9" s="96">
        <v>124</v>
      </c>
      <c r="N9" s="175" t="s">
        <v>27</v>
      </c>
      <c r="O9" s="176"/>
      <c r="P9" s="176"/>
      <c r="Q9" s="94">
        <v>0.72</v>
      </c>
      <c r="R9" s="1"/>
    </row>
    <row r="10" spans="1:18" ht="15.75" thickBot="1" x14ac:dyDescent="0.3">
      <c r="A10" s="167"/>
      <c r="B10" s="172" t="s">
        <v>5</v>
      </c>
      <c r="C10" s="173"/>
      <c r="D10" s="173"/>
      <c r="E10" s="174"/>
      <c r="F10" s="211"/>
      <c r="G10" s="212"/>
      <c r="H10" s="212"/>
      <c r="I10" s="213"/>
      <c r="J10" s="175" t="s">
        <v>22</v>
      </c>
      <c r="K10" s="176"/>
      <c r="L10" s="176"/>
      <c r="M10" s="96">
        <v>6400</v>
      </c>
      <c r="N10" s="175" t="s">
        <v>83</v>
      </c>
      <c r="O10" s="176"/>
      <c r="P10" s="176"/>
      <c r="Q10" s="94">
        <v>0.83</v>
      </c>
      <c r="R10" s="1"/>
    </row>
    <row r="11" spans="1:18" ht="15.75" thickBot="1" x14ac:dyDescent="0.3">
      <c r="A11" s="167"/>
      <c r="B11" s="172"/>
      <c r="C11" s="173"/>
      <c r="D11" s="173"/>
      <c r="E11" s="174"/>
      <c r="F11" s="211"/>
      <c r="G11" s="212"/>
      <c r="H11" s="212"/>
      <c r="I11" s="213"/>
      <c r="J11" s="175" t="s">
        <v>23</v>
      </c>
      <c r="K11" s="176"/>
      <c r="L11" s="176"/>
      <c r="M11" s="94">
        <v>0.4</v>
      </c>
      <c r="N11" s="175" t="s">
        <v>82</v>
      </c>
      <c r="O11" s="176"/>
      <c r="P11" s="176"/>
      <c r="Q11" s="94">
        <v>0.9</v>
      </c>
      <c r="R11" s="1"/>
    </row>
    <row r="12" spans="1:18" ht="15.75" thickBot="1" x14ac:dyDescent="0.3">
      <c r="A12" s="167"/>
      <c r="B12" s="175" t="s">
        <v>144</v>
      </c>
      <c r="C12" s="176"/>
      <c r="D12" s="176"/>
      <c r="E12" s="94">
        <v>1</v>
      </c>
      <c r="F12" s="211"/>
      <c r="G12" s="212"/>
      <c r="H12" s="212"/>
      <c r="I12" s="213"/>
      <c r="J12" s="175" t="s">
        <v>24</v>
      </c>
      <c r="K12" s="176"/>
      <c r="L12" s="176"/>
      <c r="M12" s="96">
        <v>1800</v>
      </c>
      <c r="N12" s="175" t="s">
        <v>86</v>
      </c>
      <c r="O12" s="176"/>
      <c r="P12" s="176"/>
      <c r="Q12" s="94">
        <v>1</v>
      </c>
      <c r="R12" s="1"/>
    </row>
    <row r="13" spans="1:18" ht="15.75" thickBot="1" x14ac:dyDescent="0.3">
      <c r="A13" s="167"/>
      <c r="B13" s="175" t="s">
        <v>16</v>
      </c>
      <c r="C13" s="176"/>
      <c r="D13" s="176"/>
      <c r="E13" s="94">
        <v>0.9</v>
      </c>
      <c r="F13" s="211"/>
      <c r="G13" s="212"/>
      <c r="H13" s="212"/>
      <c r="I13" s="213"/>
      <c r="J13" s="175" t="s">
        <v>25</v>
      </c>
      <c r="K13" s="176"/>
      <c r="L13" s="176"/>
      <c r="M13" s="97">
        <v>1.8E-5</v>
      </c>
      <c r="N13" s="175" t="s">
        <v>84</v>
      </c>
      <c r="O13" s="176"/>
      <c r="P13" s="176"/>
      <c r="Q13" s="94">
        <v>1</v>
      </c>
      <c r="R13" s="1"/>
    </row>
    <row r="14" spans="1:18" ht="15.75" thickBot="1" x14ac:dyDescent="0.3">
      <c r="A14" s="168"/>
      <c r="B14" s="141" t="s">
        <v>17</v>
      </c>
      <c r="C14" s="142"/>
      <c r="D14" s="142"/>
      <c r="E14" s="95">
        <v>1000</v>
      </c>
      <c r="F14" s="214"/>
      <c r="G14" s="215"/>
      <c r="H14" s="215"/>
      <c r="I14" s="216"/>
      <c r="J14" s="141" t="s">
        <v>26</v>
      </c>
      <c r="K14" s="142"/>
      <c r="L14" s="142"/>
      <c r="M14" s="92">
        <f>HDB</f>
        <v>124</v>
      </c>
      <c r="N14" s="141" t="s">
        <v>85</v>
      </c>
      <c r="O14" s="142"/>
      <c r="P14" s="142"/>
      <c r="Q14" s="95">
        <v>1</v>
      </c>
      <c r="R14" s="1"/>
    </row>
    <row r="15" spans="1:18" ht="35.25" customHeight="1" thickTop="1" thickBot="1" x14ac:dyDescent="0.3">
      <c r="A15" s="111" t="s">
        <v>6</v>
      </c>
      <c r="B15" s="163" t="s">
        <v>195</v>
      </c>
      <c r="C15" s="164"/>
      <c r="D15" s="164"/>
      <c r="E15" s="165"/>
      <c r="F15" s="169" t="s">
        <v>196</v>
      </c>
      <c r="G15" s="170"/>
      <c r="H15" s="170"/>
      <c r="I15" s="170"/>
      <c r="J15" s="170"/>
      <c r="K15" s="170"/>
      <c r="L15" s="170"/>
      <c r="M15" s="170"/>
      <c r="N15" s="170"/>
      <c r="O15" s="170"/>
      <c r="P15" s="170"/>
      <c r="Q15" s="171"/>
      <c r="R15" s="1"/>
    </row>
    <row r="16" spans="1:18" ht="15.75" thickBot="1" x14ac:dyDescent="0.3">
      <c r="A16" s="136"/>
      <c r="B16" s="118"/>
      <c r="C16" s="119"/>
      <c r="D16" s="119"/>
      <c r="E16" s="120"/>
      <c r="F16" s="118"/>
      <c r="G16" s="119"/>
      <c r="H16" s="119"/>
      <c r="I16" s="119"/>
      <c r="J16" s="119"/>
      <c r="K16" s="119"/>
      <c r="L16" s="119"/>
      <c r="M16" s="119"/>
      <c r="N16" s="119"/>
      <c r="O16" s="119"/>
      <c r="P16" s="119"/>
      <c r="Q16" s="120"/>
      <c r="R16" s="1"/>
    </row>
    <row r="17" spans="1:18" ht="15.75" thickBot="1" x14ac:dyDescent="0.3">
      <c r="A17" s="136"/>
      <c r="B17" s="118"/>
      <c r="C17" s="119"/>
      <c r="D17" s="119"/>
      <c r="E17" s="120"/>
      <c r="F17" s="118"/>
      <c r="G17" s="119"/>
      <c r="H17" s="119"/>
      <c r="I17" s="119"/>
      <c r="J17" s="119"/>
      <c r="K17" s="119"/>
      <c r="L17" s="119"/>
      <c r="M17" s="119"/>
      <c r="N17" s="119"/>
      <c r="O17" s="119"/>
      <c r="P17" s="119"/>
      <c r="Q17" s="120"/>
      <c r="R17" s="1"/>
    </row>
    <row r="18" spans="1:18" ht="15.75" thickBot="1" x14ac:dyDescent="0.3">
      <c r="A18" s="136"/>
      <c r="B18" s="118"/>
      <c r="C18" s="119"/>
      <c r="D18" s="119"/>
      <c r="E18" s="120"/>
      <c r="F18" s="118"/>
      <c r="G18" s="119"/>
      <c r="H18" s="119"/>
      <c r="I18" s="119"/>
      <c r="J18" s="119"/>
      <c r="K18" s="119"/>
      <c r="L18" s="119"/>
      <c r="M18" s="119"/>
      <c r="N18" s="119"/>
      <c r="O18" s="119"/>
      <c r="P18" s="119"/>
      <c r="Q18" s="120"/>
      <c r="R18" s="1"/>
    </row>
    <row r="19" spans="1:18" ht="15.75" thickBot="1" x14ac:dyDescent="0.3">
      <c r="A19" s="136"/>
      <c r="B19" s="118"/>
      <c r="C19" s="119"/>
      <c r="D19" s="119"/>
      <c r="E19" s="120"/>
      <c r="F19" s="118"/>
      <c r="G19" s="119"/>
      <c r="H19" s="119"/>
      <c r="I19" s="119"/>
      <c r="J19" s="119"/>
      <c r="K19" s="119"/>
      <c r="L19" s="119"/>
      <c r="M19" s="119"/>
      <c r="N19" s="119"/>
      <c r="O19" s="119"/>
      <c r="P19" s="119"/>
      <c r="Q19" s="120"/>
      <c r="R19" s="1"/>
    </row>
    <row r="20" spans="1:18" ht="15.75" thickBot="1" x14ac:dyDescent="0.3">
      <c r="A20" s="136"/>
      <c r="B20" s="118"/>
      <c r="C20" s="119"/>
      <c r="D20" s="119"/>
      <c r="E20" s="120"/>
      <c r="F20" s="118"/>
      <c r="G20" s="119"/>
      <c r="H20" s="119"/>
      <c r="I20" s="119"/>
      <c r="J20" s="119"/>
      <c r="K20" s="119"/>
      <c r="L20" s="119"/>
      <c r="M20" s="119"/>
      <c r="N20" s="119"/>
      <c r="O20" s="119"/>
      <c r="P20" s="119"/>
      <c r="Q20" s="120"/>
    </row>
    <row r="21" spans="1:18" ht="15.75" thickBot="1" x14ac:dyDescent="0.3">
      <c r="A21" s="136"/>
      <c r="B21" s="118"/>
      <c r="C21" s="119"/>
      <c r="D21" s="119"/>
      <c r="E21" s="120"/>
      <c r="F21" s="118"/>
      <c r="G21" s="119"/>
      <c r="H21" s="119"/>
      <c r="I21" s="119"/>
      <c r="J21" s="119"/>
      <c r="K21" s="119"/>
      <c r="L21" s="119"/>
      <c r="M21" s="119"/>
      <c r="N21" s="119"/>
      <c r="O21" s="119"/>
      <c r="P21" s="119"/>
      <c r="Q21" s="120"/>
    </row>
    <row r="22" spans="1:18" ht="15.75" thickBot="1" x14ac:dyDescent="0.3">
      <c r="A22" s="136"/>
      <c r="B22" s="118"/>
      <c r="C22" s="119"/>
      <c r="D22" s="119"/>
      <c r="E22" s="120"/>
      <c r="F22" s="118"/>
      <c r="G22" s="119"/>
      <c r="H22" s="119"/>
      <c r="I22" s="119"/>
      <c r="J22" s="119"/>
      <c r="K22" s="119"/>
      <c r="L22" s="119"/>
      <c r="M22" s="119"/>
      <c r="N22" s="119"/>
      <c r="O22" s="119"/>
      <c r="P22" s="119"/>
      <c r="Q22" s="120"/>
    </row>
    <row r="23" spans="1:18" ht="15.75" thickBot="1" x14ac:dyDescent="0.3">
      <c r="A23" s="136"/>
      <c r="B23" s="118"/>
      <c r="C23" s="119"/>
      <c r="D23" s="119"/>
      <c r="E23" s="120"/>
      <c r="F23" s="118"/>
      <c r="G23" s="119"/>
      <c r="H23" s="119"/>
      <c r="I23" s="119"/>
      <c r="J23" s="119"/>
      <c r="K23" s="119"/>
      <c r="L23" s="119"/>
      <c r="M23" s="119"/>
      <c r="N23" s="119"/>
      <c r="O23" s="119"/>
      <c r="P23" s="119"/>
      <c r="Q23" s="120"/>
    </row>
    <row r="24" spans="1:18" ht="15.75" thickBot="1" x14ac:dyDescent="0.3">
      <c r="A24" s="136"/>
      <c r="B24" s="118"/>
      <c r="C24" s="119"/>
      <c r="D24" s="119"/>
      <c r="E24" s="120"/>
      <c r="F24" s="118"/>
      <c r="G24" s="119"/>
      <c r="H24" s="119"/>
      <c r="I24" s="119"/>
      <c r="J24" s="119"/>
      <c r="K24" s="119"/>
      <c r="L24" s="119"/>
      <c r="M24" s="119"/>
      <c r="N24" s="119"/>
      <c r="O24" s="119"/>
      <c r="P24" s="119"/>
      <c r="Q24" s="120"/>
    </row>
    <row r="25" spans="1:18" ht="15.75" thickBot="1" x14ac:dyDescent="0.3">
      <c r="A25" s="136"/>
      <c r="B25" s="118"/>
      <c r="C25" s="119"/>
      <c r="D25" s="119"/>
      <c r="E25" s="120"/>
      <c r="F25" s="118"/>
      <c r="G25" s="119"/>
      <c r="H25" s="119"/>
      <c r="I25" s="119"/>
      <c r="J25" s="119"/>
      <c r="K25" s="119"/>
      <c r="L25" s="119"/>
      <c r="M25" s="119"/>
      <c r="N25" s="119"/>
      <c r="O25" s="119"/>
      <c r="P25" s="119"/>
      <c r="Q25" s="120"/>
    </row>
    <row r="26" spans="1:18" ht="30.75" customHeight="1" thickBot="1" x14ac:dyDescent="0.3">
      <c r="A26" s="136"/>
      <c r="B26" s="130" t="s">
        <v>141</v>
      </c>
      <c r="C26" s="131"/>
      <c r="D26" s="131"/>
      <c r="E26" s="98">
        <v>3.1E-2</v>
      </c>
      <c r="F26" s="137" t="s">
        <v>151</v>
      </c>
      <c r="G26" s="138"/>
      <c r="H26" s="138"/>
      <c r="I26" s="138"/>
      <c r="J26" s="179" t="s">
        <v>223</v>
      </c>
      <c r="K26" s="180"/>
      <c r="L26" s="181"/>
      <c r="M26" s="177">
        <f>Shell_Buckling_stress</f>
        <v>13.500000000000002</v>
      </c>
      <c r="N26" s="131" t="s">
        <v>193</v>
      </c>
      <c r="O26" s="131"/>
      <c r="P26" s="87">
        <f>Allowable_shell_buckling_stress</f>
        <v>66.228465153887669</v>
      </c>
      <c r="Q26" s="90" t="str">
        <f>Formula!H10</f>
        <v>pass</v>
      </c>
    </row>
    <row r="27" spans="1:18" ht="30.75" customHeight="1" thickBot="1" x14ac:dyDescent="0.3">
      <c r="A27" s="136"/>
      <c r="B27" s="137" t="s">
        <v>30</v>
      </c>
      <c r="C27" s="138"/>
      <c r="D27" s="138"/>
      <c r="E27" s="139"/>
      <c r="F27" s="130" t="s">
        <v>87</v>
      </c>
      <c r="G27" s="131"/>
      <c r="H27" s="131"/>
      <c r="I27" s="99">
        <v>4</v>
      </c>
      <c r="J27" s="182"/>
      <c r="K27" s="183"/>
      <c r="L27" s="184"/>
      <c r="M27" s="178"/>
      <c r="N27" s="131" t="s">
        <v>194</v>
      </c>
      <c r="O27" s="131"/>
      <c r="P27" s="87">
        <f>Allowable_Euler_buckling_stress</f>
        <v>22.863106131380203</v>
      </c>
      <c r="Q27" s="90" t="str">
        <f>Formula!H11</f>
        <v>pass</v>
      </c>
    </row>
    <row r="28" spans="1:18" ht="29.25" customHeight="1" thickBot="1" x14ac:dyDescent="0.3">
      <c r="A28" s="136"/>
      <c r="B28" s="130" t="s">
        <v>204</v>
      </c>
      <c r="C28" s="131"/>
      <c r="D28" s="131"/>
      <c r="E28" s="102">
        <f>allowable_External_Pressure</f>
        <v>4.7715262807171428E-2</v>
      </c>
      <c r="F28" s="130" t="s">
        <v>140</v>
      </c>
      <c r="G28" s="131"/>
      <c r="H28" s="131"/>
      <c r="I28" s="100">
        <v>30000</v>
      </c>
      <c r="J28" s="131" t="s">
        <v>212</v>
      </c>
      <c r="K28" s="131"/>
      <c r="L28" s="131"/>
      <c r="M28" s="88">
        <f>Applied_Fa/1000</f>
        <v>30</v>
      </c>
      <c r="N28" s="159" t="s">
        <v>222</v>
      </c>
      <c r="O28" s="160"/>
      <c r="P28" s="157">
        <f>famax/1000</f>
        <v>172.44712712791153</v>
      </c>
      <c r="Q28" s="185" t="str">
        <f>Formula!H4</f>
        <v>pass</v>
      </c>
    </row>
    <row r="29" spans="1:18" ht="30" customHeight="1" thickBot="1" x14ac:dyDescent="0.3">
      <c r="A29" s="136"/>
      <c r="B29" s="130" t="s">
        <v>7</v>
      </c>
      <c r="C29" s="131"/>
      <c r="D29" s="131"/>
      <c r="E29" s="86" t="str">
        <f>Formula!H3</f>
        <v>pass</v>
      </c>
      <c r="F29" s="130" t="s">
        <v>192</v>
      </c>
      <c r="G29" s="131"/>
      <c r="H29" s="131"/>
      <c r="I29" s="100">
        <v>60</v>
      </c>
      <c r="J29" s="131" t="s">
        <v>240</v>
      </c>
      <c r="K29" s="131"/>
      <c r="L29" s="131"/>
      <c r="M29" s="88">
        <f>Fa_thermal/1000</f>
        <v>33.941673000000002</v>
      </c>
      <c r="N29" s="161"/>
      <c r="O29" s="162"/>
      <c r="P29" s="158"/>
      <c r="Q29" s="186"/>
    </row>
    <row r="30" spans="1:18" ht="38.25" customHeight="1" x14ac:dyDescent="0.25">
      <c r="A30" s="109" t="s">
        <v>9</v>
      </c>
      <c r="B30" s="112" t="s">
        <v>230</v>
      </c>
      <c r="C30" s="113"/>
      <c r="D30" s="113"/>
      <c r="E30" s="114"/>
      <c r="F30" s="154" t="s">
        <v>231</v>
      </c>
      <c r="G30" s="155"/>
      <c r="H30" s="155"/>
      <c r="I30" s="155"/>
      <c r="J30" s="155" t="s">
        <v>232</v>
      </c>
      <c r="K30" s="155"/>
      <c r="L30" s="155"/>
      <c r="M30" s="155"/>
      <c r="N30" s="155" t="s">
        <v>233</v>
      </c>
      <c r="O30" s="155"/>
      <c r="P30" s="155"/>
      <c r="Q30" s="156"/>
    </row>
    <row r="31" spans="1:18" ht="19.5" customHeight="1" x14ac:dyDescent="0.25">
      <c r="A31" s="110"/>
      <c r="B31" s="118"/>
      <c r="C31" s="119"/>
      <c r="D31" s="119"/>
      <c r="E31" s="120"/>
      <c r="F31" s="143"/>
      <c r="G31" s="144"/>
      <c r="H31" s="144"/>
      <c r="I31" s="144"/>
      <c r="J31" s="147"/>
      <c r="K31" s="147"/>
      <c r="L31" s="147"/>
      <c r="M31" s="147"/>
      <c r="N31" s="147"/>
      <c r="O31" s="147"/>
      <c r="P31" s="147"/>
      <c r="Q31" s="149"/>
    </row>
    <row r="32" spans="1:18" ht="19.5" customHeight="1" x14ac:dyDescent="0.25">
      <c r="A32" s="110"/>
      <c r="B32" s="118"/>
      <c r="C32" s="119"/>
      <c r="D32" s="119"/>
      <c r="E32" s="120"/>
      <c r="F32" s="143"/>
      <c r="G32" s="144"/>
      <c r="H32" s="144"/>
      <c r="I32" s="144"/>
      <c r="J32" s="147"/>
      <c r="K32" s="147"/>
      <c r="L32" s="147"/>
      <c r="M32" s="147"/>
      <c r="N32" s="147"/>
      <c r="O32" s="147"/>
      <c r="P32" s="147"/>
      <c r="Q32" s="149"/>
    </row>
    <row r="33" spans="1:17" ht="19.5" customHeight="1" x14ac:dyDescent="0.25">
      <c r="A33" s="110"/>
      <c r="B33" s="118"/>
      <c r="C33" s="119"/>
      <c r="D33" s="119"/>
      <c r="E33" s="120"/>
      <c r="F33" s="143"/>
      <c r="G33" s="144"/>
      <c r="H33" s="144"/>
      <c r="I33" s="144"/>
      <c r="J33" s="147"/>
      <c r="K33" s="147"/>
      <c r="L33" s="147"/>
      <c r="M33" s="147"/>
      <c r="N33" s="147"/>
      <c r="O33" s="147"/>
      <c r="P33" s="147"/>
      <c r="Q33" s="149"/>
    </row>
    <row r="34" spans="1:17" ht="19.5" customHeight="1" x14ac:dyDescent="0.25">
      <c r="A34" s="110"/>
      <c r="B34" s="118"/>
      <c r="C34" s="119"/>
      <c r="D34" s="119"/>
      <c r="E34" s="120"/>
      <c r="F34" s="143"/>
      <c r="G34" s="144"/>
      <c r="H34" s="144"/>
      <c r="I34" s="144"/>
      <c r="J34" s="147"/>
      <c r="K34" s="147"/>
      <c r="L34" s="147"/>
      <c r="M34" s="147"/>
      <c r="N34" s="147"/>
      <c r="O34" s="147"/>
      <c r="P34" s="147"/>
      <c r="Q34" s="149"/>
    </row>
    <row r="35" spans="1:17" ht="19.5" customHeight="1" x14ac:dyDescent="0.25">
      <c r="A35" s="110"/>
      <c r="B35" s="118"/>
      <c r="C35" s="119"/>
      <c r="D35" s="119"/>
      <c r="E35" s="120"/>
      <c r="F35" s="143"/>
      <c r="G35" s="144"/>
      <c r="H35" s="144"/>
      <c r="I35" s="144"/>
      <c r="J35" s="147"/>
      <c r="K35" s="147"/>
      <c r="L35" s="147"/>
      <c r="M35" s="147"/>
      <c r="N35" s="147"/>
      <c r="O35" s="147"/>
      <c r="P35" s="147"/>
      <c r="Q35" s="149"/>
    </row>
    <row r="36" spans="1:17" ht="19.5" customHeight="1" x14ac:dyDescent="0.25">
      <c r="A36" s="110"/>
      <c r="B36" s="118"/>
      <c r="C36" s="119"/>
      <c r="D36" s="119"/>
      <c r="E36" s="120"/>
      <c r="F36" s="143"/>
      <c r="G36" s="144"/>
      <c r="H36" s="144"/>
      <c r="I36" s="144"/>
      <c r="J36" s="147"/>
      <c r="K36" s="147"/>
      <c r="L36" s="147"/>
      <c r="M36" s="147"/>
      <c r="N36" s="147"/>
      <c r="O36" s="147"/>
      <c r="P36" s="147"/>
      <c r="Q36" s="149"/>
    </row>
    <row r="37" spans="1:17" ht="19.5" customHeight="1" x14ac:dyDescent="0.25">
      <c r="A37" s="110"/>
      <c r="B37" s="118"/>
      <c r="C37" s="119"/>
      <c r="D37" s="119"/>
      <c r="E37" s="120"/>
      <c r="F37" s="143"/>
      <c r="G37" s="144"/>
      <c r="H37" s="144"/>
      <c r="I37" s="144"/>
      <c r="J37" s="147"/>
      <c r="K37" s="147"/>
      <c r="L37" s="147"/>
      <c r="M37" s="147"/>
      <c r="N37" s="147"/>
      <c r="O37" s="147"/>
      <c r="P37" s="147"/>
      <c r="Q37" s="149"/>
    </row>
    <row r="38" spans="1:17" ht="19.5" customHeight="1" x14ac:dyDescent="0.25">
      <c r="A38" s="110"/>
      <c r="B38" s="118"/>
      <c r="C38" s="119"/>
      <c r="D38" s="119"/>
      <c r="E38" s="120"/>
      <c r="F38" s="143"/>
      <c r="G38" s="144"/>
      <c r="H38" s="144"/>
      <c r="I38" s="144"/>
      <c r="J38" s="147"/>
      <c r="K38" s="147"/>
      <c r="L38" s="147"/>
      <c r="M38" s="147"/>
      <c r="N38" s="147"/>
      <c r="O38" s="147"/>
      <c r="P38" s="147"/>
      <c r="Q38" s="149"/>
    </row>
    <row r="39" spans="1:17" ht="19.5" customHeight="1" x14ac:dyDescent="0.25">
      <c r="A39" s="110"/>
      <c r="B39" s="118"/>
      <c r="C39" s="119"/>
      <c r="D39" s="119"/>
      <c r="E39" s="120"/>
      <c r="F39" s="143"/>
      <c r="G39" s="144"/>
      <c r="H39" s="144"/>
      <c r="I39" s="144"/>
      <c r="J39" s="147"/>
      <c r="K39" s="147"/>
      <c r="L39" s="147"/>
      <c r="M39" s="147"/>
      <c r="N39" s="147"/>
      <c r="O39" s="147"/>
      <c r="P39" s="147"/>
      <c r="Q39" s="149"/>
    </row>
    <row r="40" spans="1:17" ht="19.5" customHeight="1" x14ac:dyDescent="0.25">
      <c r="A40" s="110"/>
      <c r="B40" s="118"/>
      <c r="C40" s="119"/>
      <c r="D40" s="119"/>
      <c r="E40" s="120"/>
      <c r="F40" s="143"/>
      <c r="G40" s="144"/>
      <c r="H40" s="144"/>
      <c r="I40" s="144"/>
      <c r="J40" s="147"/>
      <c r="K40" s="147"/>
      <c r="L40" s="147"/>
      <c r="M40" s="147"/>
      <c r="N40" s="147"/>
      <c r="O40" s="147"/>
      <c r="P40" s="147"/>
      <c r="Q40" s="149"/>
    </row>
    <row r="41" spans="1:17" ht="19.5" customHeight="1" x14ac:dyDescent="0.25">
      <c r="A41" s="110"/>
      <c r="B41" s="118"/>
      <c r="C41" s="119"/>
      <c r="D41" s="119"/>
      <c r="E41" s="120"/>
      <c r="F41" s="143"/>
      <c r="G41" s="144"/>
      <c r="H41" s="144"/>
      <c r="I41" s="144"/>
      <c r="J41" s="147"/>
      <c r="K41" s="147"/>
      <c r="L41" s="147"/>
      <c r="M41" s="147"/>
      <c r="N41" s="147"/>
      <c r="O41" s="147"/>
      <c r="P41" s="147"/>
      <c r="Q41" s="149"/>
    </row>
    <row r="42" spans="1:17" ht="19.5" customHeight="1" x14ac:dyDescent="0.25">
      <c r="A42" s="110"/>
      <c r="B42" s="118"/>
      <c r="C42" s="119"/>
      <c r="D42" s="119"/>
      <c r="E42" s="120"/>
      <c r="F42" s="143"/>
      <c r="G42" s="144"/>
      <c r="H42" s="144"/>
      <c r="I42" s="144"/>
      <c r="J42" s="147"/>
      <c r="K42" s="147"/>
      <c r="L42" s="147"/>
      <c r="M42" s="147"/>
      <c r="N42" s="147"/>
      <c r="O42" s="147"/>
      <c r="P42" s="147"/>
      <c r="Q42" s="149"/>
    </row>
    <row r="43" spans="1:17" ht="19.5" customHeight="1" thickBot="1" x14ac:dyDescent="0.3">
      <c r="A43" s="111"/>
      <c r="B43" s="121"/>
      <c r="C43" s="122"/>
      <c r="D43" s="122"/>
      <c r="E43" s="123"/>
      <c r="F43" s="145"/>
      <c r="G43" s="146"/>
      <c r="H43" s="146"/>
      <c r="I43" s="146"/>
      <c r="J43" s="148"/>
      <c r="K43" s="148"/>
      <c r="L43" s="148"/>
      <c r="M43" s="148"/>
      <c r="N43" s="148"/>
      <c r="O43" s="148"/>
      <c r="P43" s="148"/>
      <c r="Q43" s="150"/>
    </row>
    <row r="44" spans="1:17" ht="38.25" customHeight="1" thickBot="1" x14ac:dyDescent="0.3">
      <c r="A44" s="133"/>
      <c r="B44" s="134"/>
      <c r="C44" s="134"/>
      <c r="D44" s="134"/>
      <c r="E44" s="134"/>
      <c r="F44" s="134"/>
      <c r="G44" s="134"/>
      <c r="H44" s="134"/>
      <c r="I44" s="134"/>
      <c r="J44" s="134"/>
      <c r="K44" s="134"/>
      <c r="L44" s="134"/>
      <c r="M44" s="134"/>
      <c r="N44" s="134"/>
      <c r="O44" s="134"/>
      <c r="P44" s="134"/>
      <c r="Q44" s="135"/>
    </row>
    <row r="45" spans="1:17" ht="37.5" customHeight="1" thickTop="1" thickBot="1" x14ac:dyDescent="0.3">
      <c r="A45" s="136" t="s">
        <v>6</v>
      </c>
      <c r="B45" s="151" t="s">
        <v>10</v>
      </c>
      <c r="C45" s="152"/>
      <c r="D45" s="152"/>
      <c r="E45" s="153"/>
      <c r="F45" s="151" t="s">
        <v>11</v>
      </c>
      <c r="G45" s="152"/>
      <c r="H45" s="152"/>
      <c r="I45" s="153"/>
      <c r="J45" s="151" t="s">
        <v>12</v>
      </c>
      <c r="K45" s="152"/>
      <c r="L45" s="152"/>
      <c r="M45" s="153"/>
      <c r="N45" s="151" t="s">
        <v>13</v>
      </c>
      <c r="O45" s="152"/>
      <c r="P45" s="152"/>
      <c r="Q45" s="153"/>
    </row>
    <row r="46" spans="1:17" ht="15.75" thickBot="1" x14ac:dyDescent="0.3">
      <c r="A46" s="136"/>
      <c r="B46" s="118"/>
      <c r="C46" s="119"/>
      <c r="D46" s="119"/>
      <c r="E46" s="120"/>
      <c r="F46" s="118"/>
      <c r="G46" s="119"/>
      <c r="H46" s="119"/>
      <c r="I46" s="120"/>
      <c r="J46" s="118"/>
      <c r="K46" s="119"/>
      <c r="L46" s="119"/>
      <c r="M46" s="120"/>
      <c r="N46" s="118"/>
      <c r="O46" s="119"/>
      <c r="P46" s="119"/>
      <c r="Q46" s="120"/>
    </row>
    <row r="47" spans="1:17" ht="15.75" thickBot="1" x14ac:dyDescent="0.3">
      <c r="A47" s="136"/>
      <c r="B47" s="118"/>
      <c r="C47" s="119"/>
      <c r="D47" s="119"/>
      <c r="E47" s="120"/>
      <c r="F47" s="118"/>
      <c r="G47" s="119"/>
      <c r="H47" s="119"/>
      <c r="I47" s="120"/>
      <c r="J47" s="118"/>
      <c r="K47" s="119"/>
      <c r="L47" s="119"/>
      <c r="M47" s="120"/>
      <c r="N47" s="118"/>
      <c r="O47" s="119"/>
      <c r="P47" s="119"/>
      <c r="Q47" s="120"/>
    </row>
    <row r="48" spans="1:17" ht="15.75" thickBot="1" x14ac:dyDescent="0.3">
      <c r="A48" s="136"/>
      <c r="B48" s="118"/>
      <c r="C48" s="119"/>
      <c r="D48" s="119"/>
      <c r="E48" s="120"/>
      <c r="F48" s="118"/>
      <c r="G48" s="119"/>
      <c r="H48" s="119"/>
      <c r="I48" s="120"/>
      <c r="J48" s="118"/>
      <c r="K48" s="119"/>
      <c r="L48" s="119"/>
      <c r="M48" s="120"/>
      <c r="N48" s="118"/>
      <c r="O48" s="119"/>
      <c r="P48" s="119"/>
      <c r="Q48" s="120"/>
    </row>
    <row r="49" spans="1:18" ht="15.75" thickBot="1" x14ac:dyDescent="0.3">
      <c r="A49" s="136"/>
      <c r="B49" s="118"/>
      <c r="C49" s="119"/>
      <c r="D49" s="119"/>
      <c r="E49" s="120"/>
      <c r="F49" s="118"/>
      <c r="G49" s="119"/>
      <c r="H49" s="119"/>
      <c r="I49" s="120"/>
      <c r="J49" s="118"/>
      <c r="K49" s="119"/>
      <c r="L49" s="119"/>
      <c r="M49" s="120"/>
      <c r="N49" s="118"/>
      <c r="O49" s="119"/>
      <c r="P49" s="119"/>
      <c r="Q49" s="120"/>
    </row>
    <row r="50" spans="1:18" ht="15.75" thickBot="1" x14ac:dyDescent="0.3">
      <c r="A50" s="136"/>
      <c r="B50" s="118"/>
      <c r="C50" s="119"/>
      <c r="D50" s="119"/>
      <c r="E50" s="120"/>
      <c r="F50" s="118"/>
      <c r="G50" s="119"/>
      <c r="H50" s="119"/>
      <c r="I50" s="120"/>
      <c r="J50" s="118"/>
      <c r="K50" s="119"/>
      <c r="L50" s="119"/>
      <c r="M50" s="120"/>
      <c r="N50" s="118"/>
      <c r="O50" s="119"/>
      <c r="P50" s="119"/>
      <c r="Q50" s="120"/>
    </row>
    <row r="51" spans="1:18" ht="15.75" thickBot="1" x14ac:dyDescent="0.3">
      <c r="A51" s="136"/>
      <c r="B51" s="118"/>
      <c r="C51" s="119"/>
      <c r="D51" s="119"/>
      <c r="E51" s="120"/>
      <c r="F51" s="118"/>
      <c r="G51" s="119"/>
      <c r="H51" s="119"/>
      <c r="I51" s="120"/>
      <c r="J51" s="118"/>
      <c r="K51" s="119"/>
      <c r="L51" s="119"/>
      <c r="M51" s="120"/>
      <c r="N51" s="118"/>
      <c r="O51" s="119"/>
      <c r="P51" s="119"/>
      <c r="Q51" s="120"/>
    </row>
    <row r="52" spans="1:18" ht="15.75" thickBot="1" x14ac:dyDescent="0.3">
      <c r="A52" s="136"/>
      <c r="B52" s="118"/>
      <c r="C52" s="119"/>
      <c r="D52" s="119"/>
      <c r="E52" s="120"/>
      <c r="F52" s="118"/>
      <c r="G52" s="119"/>
      <c r="H52" s="119"/>
      <c r="I52" s="120"/>
      <c r="J52" s="118"/>
      <c r="K52" s="119"/>
      <c r="L52" s="119"/>
      <c r="M52" s="120"/>
      <c r="N52" s="118"/>
      <c r="O52" s="119"/>
      <c r="P52" s="119"/>
      <c r="Q52" s="120"/>
    </row>
    <row r="53" spans="1:18" ht="15.75" thickBot="1" x14ac:dyDescent="0.3">
      <c r="A53" s="136"/>
      <c r="B53" s="118"/>
      <c r="C53" s="119"/>
      <c r="D53" s="119"/>
      <c r="E53" s="120"/>
      <c r="F53" s="118"/>
      <c r="G53" s="119"/>
      <c r="H53" s="119"/>
      <c r="I53" s="120"/>
      <c r="J53" s="118"/>
      <c r="K53" s="119"/>
      <c r="L53" s="119"/>
      <c r="M53" s="120"/>
      <c r="N53" s="118"/>
      <c r="O53" s="119"/>
      <c r="P53" s="119"/>
      <c r="Q53" s="120"/>
    </row>
    <row r="54" spans="1:18" ht="15.75" thickBot="1" x14ac:dyDescent="0.3">
      <c r="A54" s="136"/>
      <c r="B54" s="118"/>
      <c r="C54" s="119"/>
      <c r="D54" s="119"/>
      <c r="E54" s="120"/>
      <c r="F54" s="118"/>
      <c r="G54" s="119"/>
      <c r="H54" s="119"/>
      <c r="I54" s="120"/>
      <c r="J54" s="118"/>
      <c r="K54" s="119"/>
      <c r="L54" s="119"/>
      <c r="M54" s="120"/>
      <c r="N54" s="118"/>
      <c r="O54" s="119"/>
      <c r="P54" s="119"/>
      <c r="Q54" s="120"/>
    </row>
    <row r="55" spans="1:18" ht="15.75" thickBot="1" x14ac:dyDescent="0.3">
      <c r="A55" s="136"/>
      <c r="B55" s="118"/>
      <c r="C55" s="119"/>
      <c r="D55" s="119"/>
      <c r="E55" s="120"/>
      <c r="F55" s="118"/>
      <c r="G55" s="119"/>
      <c r="H55" s="119"/>
      <c r="I55" s="120"/>
      <c r="J55" s="118"/>
      <c r="K55" s="119"/>
      <c r="L55" s="119"/>
      <c r="M55" s="120"/>
      <c r="N55" s="118"/>
      <c r="O55" s="119"/>
      <c r="P55" s="119"/>
      <c r="Q55" s="120"/>
    </row>
    <row r="56" spans="1:18" ht="24.75" customHeight="1" thickBot="1" x14ac:dyDescent="0.3">
      <c r="A56" s="136"/>
      <c r="B56" s="130" t="s">
        <v>92</v>
      </c>
      <c r="C56" s="131"/>
      <c r="D56" s="131"/>
      <c r="E56" s="106">
        <v>4</v>
      </c>
      <c r="F56" s="130" t="s">
        <v>92</v>
      </c>
      <c r="G56" s="131"/>
      <c r="H56" s="131"/>
      <c r="I56" s="106">
        <v>3.6</v>
      </c>
      <c r="J56" s="130" t="s">
        <v>92</v>
      </c>
      <c r="K56" s="131"/>
      <c r="L56" s="131"/>
      <c r="M56" s="106">
        <v>9</v>
      </c>
      <c r="N56" s="130" t="s">
        <v>14</v>
      </c>
      <c r="O56" s="131"/>
      <c r="P56" s="131"/>
      <c r="Q56" s="106">
        <v>5</v>
      </c>
    </row>
    <row r="57" spans="1:18" ht="24.75" customHeight="1" thickBot="1" x14ac:dyDescent="0.3">
      <c r="A57" s="136"/>
      <c r="B57" s="137" t="s">
        <v>93</v>
      </c>
      <c r="C57" s="138"/>
      <c r="D57" s="138"/>
      <c r="E57" s="139"/>
      <c r="F57" s="137" t="s">
        <v>93</v>
      </c>
      <c r="G57" s="138"/>
      <c r="H57" s="138"/>
      <c r="I57" s="139">
        <v>0.107</v>
      </c>
      <c r="J57" s="137" t="s">
        <v>93</v>
      </c>
      <c r="K57" s="138"/>
      <c r="L57" s="138"/>
      <c r="M57" s="139">
        <v>1.171</v>
      </c>
      <c r="N57" s="137" t="s">
        <v>169</v>
      </c>
      <c r="O57" s="138"/>
      <c r="P57" s="138"/>
      <c r="Q57" s="139"/>
    </row>
    <row r="58" spans="1:18" ht="24.75" customHeight="1" thickBot="1" x14ac:dyDescent="0.3">
      <c r="A58" s="136"/>
      <c r="B58" s="130" t="s">
        <v>210</v>
      </c>
      <c r="C58" s="131"/>
      <c r="D58" s="131"/>
      <c r="E58" s="101">
        <v>250</v>
      </c>
      <c r="F58" s="130" t="s">
        <v>210</v>
      </c>
      <c r="G58" s="131"/>
      <c r="H58" s="131"/>
      <c r="I58" s="101">
        <v>250</v>
      </c>
      <c r="J58" s="130" t="s">
        <v>210</v>
      </c>
      <c r="K58" s="131"/>
      <c r="L58" s="131"/>
      <c r="M58" s="101">
        <v>250</v>
      </c>
      <c r="N58" s="130" t="s">
        <v>170</v>
      </c>
      <c r="O58" s="131"/>
      <c r="P58" s="131"/>
      <c r="Q58" s="101">
        <f>ks</f>
        <v>925</v>
      </c>
    </row>
    <row r="59" spans="1:18" ht="24.75" customHeight="1" thickBot="1" x14ac:dyDescent="0.3">
      <c r="A59" s="136"/>
      <c r="B59" s="130" t="s">
        <v>94</v>
      </c>
      <c r="C59" s="131"/>
      <c r="D59" s="131"/>
      <c r="E59" s="89">
        <f>MAX(Formula!E8,Formula!E9)+Shoop</f>
        <v>53.094779324090865</v>
      </c>
      <c r="F59" s="130" t="s">
        <v>206</v>
      </c>
      <c r="G59" s="131"/>
      <c r="H59" s="131"/>
      <c r="I59" s="89">
        <f>MAX(Formula!E5,Formula!E6)</f>
        <v>44.060634667615908</v>
      </c>
      <c r="J59" s="130" t="s">
        <v>205</v>
      </c>
      <c r="K59" s="131"/>
      <c r="L59" s="131"/>
      <c r="M59" s="89">
        <f>Formula!E7</f>
        <v>6.4733140015438595</v>
      </c>
      <c r="N59" s="130" t="s">
        <v>207</v>
      </c>
      <c r="O59" s="131"/>
      <c r="P59" s="131"/>
      <c r="Q59" s="89">
        <f>deflection</f>
        <v>6.0685573443123557</v>
      </c>
      <c r="R59" s="49"/>
    </row>
    <row r="60" spans="1:18" ht="15.75" thickBot="1" x14ac:dyDescent="0.3">
      <c r="A60" s="136"/>
      <c r="B60" s="130" t="s">
        <v>209</v>
      </c>
      <c r="C60" s="131"/>
      <c r="D60" s="131"/>
      <c r="E60" s="132">
        <f>Allowable_local_hoop</f>
        <v>92.628</v>
      </c>
      <c r="F60" s="130" t="s">
        <v>209</v>
      </c>
      <c r="G60" s="131"/>
      <c r="H60" s="131"/>
      <c r="I60" s="132">
        <f>Alowable_local_axial</f>
        <v>44.484469105372717</v>
      </c>
      <c r="J60" s="130" t="s">
        <v>209</v>
      </c>
      <c r="K60" s="131"/>
      <c r="L60" s="131"/>
      <c r="M60" s="132">
        <f>Formula!F7</f>
        <v>10</v>
      </c>
      <c r="N60" s="130" t="s">
        <v>208</v>
      </c>
      <c r="O60" s="131"/>
      <c r="P60" s="131"/>
      <c r="Q60" s="132">
        <f>Formula!F12</f>
        <v>12.5</v>
      </c>
    </row>
    <row r="61" spans="1:18" ht="15.75" thickBot="1" x14ac:dyDescent="0.3">
      <c r="A61" s="136"/>
      <c r="B61" s="130"/>
      <c r="C61" s="131"/>
      <c r="D61" s="131"/>
      <c r="E61" s="132"/>
      <c r="F61" s="130"/>
      <c r="G61" s="131"/>
      <c r="H61" s="131"/>
      <c r="I61" s="132" t="e">
        <f>#REF!</f>
        <v>#REF!</v>
      </c>
      <c r="J61" s="130"/>
      <c r="K61" s="131"/>
      <c r="L61" s="131"/>
      <c r="M61" s="132" t="e">
        <f>#REF!</f>
        <v>#REF!</v>
      </c>
      <c r="N61" s="130"/>
      <c r="O61" s="131"/>
      <c r="P61" s="131"/>
      <c r="Q61" s="132" t="e">
        <f>#REF!</f>
        <v>#REF!</v>
      </c>
    </row>
    <row r="62" spans="1:18" ht="15.75" thickBot="1" x14ac:dyDescent="0.3">
      <c r="A62" s="136"/>
      <c r="B62" s="130" t="s">
        <v>7</v>
      </c>
      <c r="C62" s="131"/>
      <c r="D62" s="131"/>
      <c r="E62" s="140" t="str">
        <f>Formula!H8</f>
        <v>pass</v>
      </c>
      <c r="F62" s="130" t="s">
        <v>7</v>
      </c>
      <c r="G62" s="131"/>
      <c r="H62" s="131"/>
      <c r="I62" s="140" t="str">
        <f>Formula!H5</f>
        <v>pass</v>
      </c>
      <c r="J62" s="130" t="s">
        <v>7</v>
      </c>
      <c r="K62" s="131"/>
      <c r="L62" s="131"/>
      <c r="M62" s="140" t="str">
        <f>Formula!H7</f>
        <v>pass</v>
      </c>
      <c r="N62" s="130" t="s">
        <v>7</v>
      </c>
      <c r="O62" s="131"/>
      <c r="P62" s="131"/>
      <c r="Q62" s="140" t="str">
        <f>Formula!H12</f>
        <v>pass</v>
      </c>
    </row>
    <row r="63" spans="1:18" ht="15.75" thickBot="1" x14ac:dyDescent="0.3">
      <c r="A63" s="136"/>
      <c r="B63" s="130" t="s">
        <v>8</v>
      </c>
      <c r="C63" s="131"/>
      <c r="D63" s="131"/>
      <c r="E63" s="140"/>
      <c r="F63" s="130"/>
      <c r="G63" s="131"/>
      <c r="H63" s="131"/>
      <c r="I63" s="140" t="e">
        <f>#REF!</f>
        <v>#REF!</v>
      </c>
      <c r="J63" s="130"/>
      <c r="K63" s="131"/>
      <c r="L63" s="131"/>
      <c r="M63" s="140" t="e">
        <f>#REF!</f>
        <v>#REF!</v>
      </c>
      <c r="N63" s="130"/>
      <c r="O63" s="131"/>
      <c r="P63" s="131"/>
      <c r="Q63" s="140" t="e">
        <f>#REF!</f>
        <v>#REF!</v>
      </c>
    </row>
    <row r="64" spans="1:18" ht="31.5" customHeight="1" x14ac:dyDescent="0.25">
      <c r="A64" s="109" t="s">
        <v>9</v>
      </c>
      <c r="B64" s="112" t="s">
        <v>234</v>
      </c>
      <c r="C64" s="113"/>
      <c r="D64" s="113"/>
      <c r="E64" s="114"/>
      <c r="F64" s="112" t="s">
        <v>235</v>
      </c>
      <c r="G64" s="113"/>
      <c r="H64" s="113"/>
      <c r="I64" s="114"/>
      <c r="J64" s="112" t="s">
        <v>236</v>
      </c>
      <c r="K64" s="113"/>
      <c r="L64" s="113"/>
      <c r="M64" s="114"/>
      <c r="N64" s="112" t="s">
        <v>237</v>
      </c>
      <c r="O64" s="113"/>
      <c r="P64" s="113"/>
      <c r="Q64" s="114"/>
    </row>
    <row r="65" spans="1:19" ht="22.5" customHeight="1" x14ac:dyDescent="0.25">
      <c r="A65" s="110"/>
      <c r="B65" s="118"/>
      <c r="C65" s="119"/>
      <c r="D65" s="119"/>
      <c r="E65" s="120"/>
      <c r="F65" s="118"/>
      <c r="G65" s="119"/>
      <c r="H65" s="119"/>
      <c r="I65" s="120"/>
      <c r="J65" s="118"/>
      <c r="K65" s="119"/>
      <c r="L65" s="119"/>
      <c r="M65" s="120"/>
      <c r="N65" s="124"/>
      <c r="O65" s="125"/>
      <c r="P65" s="125"/>
      <c r="Q65" s="126"/>
    </row>
    <row r="66" spans="1:19" ht="22.5" customHeight="1" x14ac:dyDescent="0.25">
      <c r="A66" s="110"/>
      <c r="B66" s="118"/>
      <c r="C66" s="119"/>
      <c r="D66" s="119"/>
      <c r="E66" s="120"/>
      <c r="F66" s="118"/>
      <c r="G66" s="119"/>
      <c r="H66" s="119"/>
      <c r="I66" s="120"/>
      <c r="J66" s="118"/>
      <c r="K66" s="119"/>
      <c r="L66" s="119"/>
      <c r="M66" s="120"/>
      <c r="N66" s="124"/>
      <c r="O66" s="125"/>
      <c r="P66" s="125"/>
      <c r="Q66" s="126"/>
    </row>
    <row r="67" spans="1:19" ht="22.5" customHeight="1" x14ac:dyDescent="0.25">
      <c r="A67" s="110"/>
      <c r="B67" s="118"/>
      <c r="C67" s="119"/>
      <c r="D67" s="119"/>
      <c r="E67" s="120"/>
      <c r="F67" s="118"/>
      <c r="G67" s="119"/>
      <c r="H67" s="119"/>
      <c r="I67" s="120"/>
      <c r="J67" s="118"/>
      <c r="K67" s="119"/>
      <c r="L67" s="119"/>
      <c r="M67" s="120"/>
      <c r="N67" s="124"/>
      <c r="O67" s="125"/>
      <c r="P67" s="125"/>
      <c r="Q67" s="126"/>
    </row>
    <row r="68" spans="1:19" ht="22.5" customHeight="1" x14ac:dyDescent="0.25">
      <c r="A68" s="110"/>
      <c r="B68" s="118"/>
      <c r="C68" s="119"/>
      <c r="D68" s="119"/>
      <c r="E68" s="120"/>
      <c r="F68" s="118"/>
      <c r="G68" s="119"/>
      <c r="H68" s="119"/>
      <c r="I68" s="120"/>
      <c r="J68" s="118"/>
      <c r="K68" s="119"/>
      <c r="L68" s="119"/>
      <c r="M68" s="120"/>
      <c r="N68" s="124"/>
      <c r="O68" s="125"/>
      <c r="P68" s="125"/>
      <c r="Q68" s="126"/>
    </row>
    <row r="69" spans="1:19" ht="22.5" customHeight="1" x14ac:dyDescent="0.25">
      <c r="A69" s="110"/>
      <c r="B69" s="118"/>
      <c r="C69" s="119"/>
      <c r="D69" s="119"/>
      <c r="E69" s="120"/>
      <c r="F69" s="118"/>
      <c r="G69" s="119"/>
      <c r="H69" s="119"/>
      <c r="I69" s="120"/>
      <c r="J69" s="118"/>
      <c r="K69" s="119"/>
      <c r="L69" s="119"/>
      <c r="M69" s="120"/>
      <c r="N69" s="124"/>
      <c r="O69" s="125"/>
      <c r="P69" s="125"/>
      <c r="Q69" s="126"/>
    </row>
    <row r="70" spans="1:19" ht="22.5" customHeight="1" x14ac:dyDescent="0.25">
      <c r="A70" s="110"/>
      <c r="B70" s="118"/>
      <c r="C70" s="119"/>
      <c r="D70" s="119"/>
      <c r="E70" s="120"/>
      <c r="F70" s="118"/>
      <c r="G70" s="119"/>
      <c r="H70" s="119"/>
      <c r="I70" s="120"/>
      <c r="J70" s="118"/>
      <c r="K70" s="119"/>
      <c r="L70" s="119"/>
      <c r="M70" s="120"/>
      <c r="N70" s="124"/>
      <c r="O70" s="125"/>
      <c r="P70" s="125"/>
      <c r="Q70" s="126"/>
    </row>
    <row r="71" spans="1:19" ht="22.5" customHeight="1" x14ac:dyDescent="0.25">
      <c r="A71" s="110"/>
      <c r="B71" s="118"/>
      <c r="C71" s="119"/>
      <c r="D71" s="119"/>
      <c r="E71" s="120"/>
      <c r="F71" s="118"/>
      <c r="G71" s="119"/>
      <c r="H71" s="119"/>
      <c r="I71" s="120"/>
      <c r="J71" s="118"/>
      <c r="K71" s="119"/>
      <c r="L71" s="119"/>
      <c r="M71" s="120"/>
      <c r="N71" s="124"/>
      <c r="O71" s="125"/>
      <c r="P71" s="125"/>
      <c r="Q71" s="126"/>
    </row>
    <row r="72" spans="1:19" ht="22.5" customHeight="1" x14ac:dyDescent="0.25">
      <c r="A72" s="110"/>
      <c r="B72" s="118"/>
      <c r="C72" s="119"/>
      <c r="D72" s="119"/>
      <c r="E72" s="120"/>
      <c r="F72" s="118"/>
      <c r="G72" s="119"/>
      <c r="H72" s="119"/>
      <c r="I72" s="120"/>
      <c r="J72" s="118"/>
      <c r="K72" s="119"/>
      <c r="L72" s="119"/>
      <c r="M72" s="120"/>
      <c r="N72" s="124"/>
      <c r="O72" s="125"/>
      <c r="P72" s="125"/>
      <c r="Q72" s="126"/>
    </row>
    <row r="73" spans="1:19" ht="22.5" customHeight="1" x14ac:dyDescent="0.25">
      <c r="A73" s="110"/>
      <c r="B73" s="118"/>
      <c r="C73" s="119"/>
      <c r="D73" s="119"/>
      <c r="E73" s="120"/>
      <c r="F73" s="118"/>
      <c r="G73" s="119"/>
      <c r="H73" s="119"/>
      <c r="I73" s="120"/>
      <c r="J73" s="118"/>
      <c r="K73" s="119"/>
      <c r="L73" s="119"/>
      <c r="M73" s="120"/>
      <c r="N73" s="124"/>
      <c r="O73" s="125"/>
      <c r="P73" s="125"/>
      <c r="Q73" s="126"/>
    </row>
    <row r="74" spans="1:19" ht="22.5" customHeight="1" x14ac:dyDescent="0.25">
      <c r="A74" s="110"/>
      <c r="B74" s="118"/>
      <c r="C74" s="119"/>
      <c r="D74" s="119"/>
      <c r="E74" s="120"/>
      <c r="F74" s="118"/>
      <c r="G74" s="119"/>
      <c r="H74" s="119"/>
      <c r="I74" s="120"/>
      <c r="J74" s="118"/>
      <c r="K74" s="119"/>
      <c r="L74" s="119"/>
      <c r="M74" s="120"/>
      <c r="N74" s="124"/>
      <c r="O74" s="125"/>
      <c r="P74" s="125"/>
      <c r="Q74" s="126"/>
    </row>
    <row r="75" spans="1:19" ht="22.5" customHeight="1" x14ac:dyDescent="0.25">
      <c r="A75" s="110"/>
      <c r="B75" s="118"/>
      <c r="C75" s="119"/>
      <c r="D75" s="119"/>
      <c r="E75" s="120"/>
      <c r="F75" s="118"/>
      <c r="G75" s="119"/>
      <c r="H75" s="119"/>
      <c r="I75" s="120"/>
      <c r="J75" s="118"/>
      <c r="K75" s="119"/>
      <c r="L75" s="119"/>
      <c r="M75" s="120"/>
      <c r="N75" s="124"/>
      <c r="O75" s="125"/>
      <c r="P75" s="125"/>
      <c r="Q75" s="126"/>
    </row>
    <row r="76" spans="1:19" ht="22.5" customHeight="1" x14ac:dyDescent="0.25">
      <c r="A76" s="110"/>
      <c r="B76" s="118"/>
      <c r="C76" s="119"/>
      <c r="D76" s="119"/>
      <c r="E76" s="120"/>
      <c r="F76" s="118"/>
      <c r="G76" s="119"/>
      <c r="H76" s="119"/>
      <c r="I76" s="120"/>
      <c r="J76" s="118"/>
      <c r="K76" s="119"/>
      <c r="L76" s="119"/>
      <c r="M76" s="120"/>
      <c r="N76" s="124"/>
      <c r="O76" s="125"/>
      <c r="P76" s="125"/>
      <c r="Q76" s="126"/>
    </row>
    <row r="77" spans="1:19" ht="22.5" customHeight="1" thickBot="1" x14ac:dyDescent="0.3">
      <c r="A77" s="111"/>
      <c r="B77" s="121"/>
      <c r="C77" s="122"/>
      <c r="D77" s="122"/>
      <c r="E77" s="123"/>
      <c r="F77" s="121"/>
      <c r="G77" s="122"/>
      <c r="H77" s="122"/>
      <c r="I77" s="123"/>
      <c r="J77" s="121"/>
      <c r="K77" s="122"/>
      <c r="L77" s="122"/>
      <c r="M77" s="123"/>
      <c r="N77" s="127"/>
      <c r="O77" s="128"/>
      <c r="P77" s="128"/>
      <c r="Q77" s="129"/>
    </row>
    <row r="78" spans="1:19" ht="31.5" customHeight="1" thickBot="1" x14ac:dyDescent="0.3">
      <c r="A78" s="115"/>
      <c r="B78" s="116"/>
      <c r="C78" s="116"/>
      <c r="D78" s="116"/>
      <c r="E78" s="116"/>
      <c r="F78" s="116"/>
      <c r="G78" s="116"/>
      <c r="H78" s="116"/>
      <c r="I78" s="116"/>
      <c r="J78" s="116"/>
      <c r="K78" s="116"/>
      <c r="L78" s="116"/>
      <c r="M78" s="116"/>
      <c r="N78" s="116"/>
      <c r="O78" s="116"/>
      <c r="P78" s="116"/>
      <c r="Q78" s="117"/>
    </row>
    <row r="79" spans="1:19" ht="16.5" thickTop="1" x14ac:dyDescent="0.25">
      <c r="A79" s="107" t="s">
        <v>225</v>
      </c>
      <c r="B79" s="107"/>
      <c r="C79" s="107"/>
      <c r="D79" s="107"/>
      <c r="E79" s="107"/>
      <c r="F79" s="107"/>
      <c r="G79" s="107"/>
      <c r="H79" s="107"/>
      <c r="I79" s="107"/>
      <c r="J79" s="107"/>
      <c r="K79" s="107"/>
      <c r="L79" s="107"/>
      <c r="M79" s="107"/>
      <c r="N79" s="107"/>
      <c r="O79" s="107"/>
      <c r="P79" s="107"/>
      <c r="Q79" s="107"/>
      <c r="R79" s="107"/>
      <c r="S79" s="107"/>
    </row>
    <row r="80" spans="1:19" ht="15.75" x14ac:dyDescent="0.25">
      <c r="A80" s="107" t="s">
        <v>217</v>
      </c>
      <c r="B80" s="107"/>
      <c r="C80" s="107"/>
      <c r="D80" s="107"/>
      <c r="E80" s="107"/>
      <c r="F80" s="107"/>
      <c r="G80" s="107"/>
      <c r="H80" s="107"/>
      <c r="I80" s="107"/>
      <c r="J80" s="107"/>
      <c r="K80" s="107"/>
      <c r="L80" s="107"/>
      <c r="M80" s="107"/>
      <c r="N80" s="107"/>
      <c r="O80" s="107"/>
      <c r="P80" s="107"/>
      <c r="Q80" s="107"/>
      <c r="R80" s="107"/>
      <c r="S80" s="107"/>
    </row>
    <row r="81" spans="1:19" ht="54.75" customHeight="1" x14ac:dyDescent="0.25">
      <c r="A81" s="108" t="s">
        <v>226</v>
      </c>
      <c r="B81" s="108"/>
      <c r="C81" s="108"/>
      <c r="D81" s="108"/>
      <c r="E81" s="108"/>
      <c r="F81" s="108"/>
      <c r="G81" s="108"/>
      <c r="H81" s="108"/>
      <c r="I81" s="108"/>
      <c r="J81" s="108"/>
      <c r="K81" s="108"/>
      <c r="L81" s="108"/>
      <c r="M81" s="108"/>
      <c r="N81" s="108"/>
      <c r="O81" s="108"/>
      <c r="P81" s="108"/>
      <c r="Q81" s="108"/>
      <c r="R81" s="108"/>
      <c r="S81" s="108"/>
    </row>
    <row r="82" spans="1:19" ht="15.75" x14ac:dyDescent="0.25">
      <c r="A82" s="107" t="s">
        <v>218</v>
      </c>
      <c r="B82" s="107"/>
      <c r="C82" s="107"/>
      <c r="D82" s="107"/>
      <c r="E82" s="107"/>
      <c r="F82" s="107"/>
      <c r="G82" s="107"/>
      <c r="H82" s="107"/>
      <c r="I82" s="107"/>
      <c r="J82" s="107"/>
      <c r="K82" s="107"/>
      <c r="L82" s="107"/>
      <c r="M82" s="107"/>
      <c r="N82" s="107"/>
      <c r="O82" s="107"/>
      <c r="P82" s="107"/>
      <c r="Q82" s="107"/>
      <c r="R82" s="107"/>
      <c r="S82" s="107"/>
    </row>
    <row r="83" spans="1:19" ht="15.75" x14ac:dyDescent="0.25">
      <c r="A83" s="107" t="s">
        <v>219</v>
      </c>
      <c r="B83" s="107"/>
      <c r="C83" s="107"/>
      <c r="D83" s="107"/>
      <c r="E83" s="107"/>
      <c r="F83" s="107"/>
      <c r="G83" s="107"/>
      <c r="H83" s="107"/>
      <c r="I83" s="107"/>
      <c r="J83" s="107"/>
      <c r="K83" s="107"/>
      <c r="L83" s="107"/>
      <c r="M83" s="107"/>
      <c r="N83" s="107"/>
      <c r="O83" s="107"/>
      <c r="P83" s="107"/>
      <c r="Q83" s="107"/>
      <c r="R83" s="107"/>
      <c r="S83" s="103"/>
    </row>
    <row r="84" spans="1:19" ht="15.75" x14ac:dyDescent="0.25">
      <c r="A84" s="107" t="s">
        <v>227</v>
      </c>
      <c r="B84" s="107"/>
      <c r="C84" s="107"/>
      <c r="D84" s="107"/>
      <c r="E84" s="107"/>
      <c r="F84" s="107"/>
      <c r="G84" s="107"/>
      <c r="H84" s="107"/>
      <c r="I84" s="107"/>
      <c r="J84" s="107"/>
      <c r="K84" s="107"/>
      <c r="L84" s="107"/>
      <c r="M84" s="107"/>
      <c r="N84" s="107"/>
      <c r="O84" s="107"/>
      <c r="P84" s="107"/>
      <c r="Q84" s="107"/>
    </row>
    <row r="85" spans="1:19" ht="15.75" x14ac:dyDescent="0.25">
      <c r="A85" s="107"/>
      <c r="B85" s="107"/>
      <c r="C85" s="107"/>
      <c r="D85" s="107"/>
      <c r="E85" s="107"/>
      <c r="F85" s="107"/>
      <c r="G85" s="107"/>
      <c r="H85" s="107"/>
      <c r="I85" s="107"/>
      <c r="J85" s="107"/>
      <c r="K85" s="107"/>
      <c r="L85" s="107"/>
      <c r="M85" s="107"/>
      <c r="N85" s="107"/>
      <c r="O85" s="107"/>
      <c r="P85" s="107"/>
      <c r="Q85" s="107"/>
      <c r="R85" s="107"/>
      <c r="S85" s="91"/>
    </row>
    <row r="86" spans="1:19" ht="15.75" x14ac:dyDescent="0.25">
      <c r="A86" s="107"/>
      <c r="B86" s="107"/>
      <c r="C86" s="107"/>
      <c r="D86" s="107"/>
      <c r="E86" s="107"/>
      <c r="F86" s="107"/>
      <c r="G86" s="107"/>
      <c r="H86" s="107"/>
      <c r="I86" s="107"/>
      <c r="J86" s="107"/>
      <c r="K86" s="107"/>
      <c r="L86" s="107"/>
      <c r="M86" s="107"/>
      <c r="N86" s="107"/>
      <c r="O86" s="107"/>
      <c r="P86" s="107"/>
      <c r="Q86" s="107"/>
      <c r="R86" s="107"/>
      <c r="S86" s="107"/>
    </row>
    <row r="87" spans="1:19" s="104" customFormat="1" x14ac:dyDescent="0.25">
      <c r="E87" s="105"/>
      <c r="I87" s="105"/>
      <c r="M87" s="105"/>
      <c r="Q87" s="105"/>
    </row>
    <row r="88" spans="1:19" s="104" customFormat="1" x14ac:dyDescent="0.25">
      <c r="E88" s="105"/>
      <c r="I88" s="105"/>
      <c r="M88" s="105"/>
      <c r="Q88" s="105"/>
    </row>
    <row r="89" spans="1:19" s="104" customFormat="1" x14ac:dyDescent="0.25">
      <c r="E89" s="105"/>
      <c r="I89" s="105"/>
      <c r="M89" s="105"/>
      <c r="Q89" s="105"/>
    </row>
    <row r="90" spans="1:19" s="104" customFormat="1" x14ac:dyDescent="0.25">
      <c r="E90" s="105"/>
      <c r="I90" s="105"/>
      <c r="M90" s="105"/>
      <c r="Q90" s="105"/>
    </row>
  </sheetData>
  <sheetProtection password="C1D3" sheet="1" objects="1" scenarios="1" selectLockedCells="1" autoFilter="0" pivotTables="0"/>
  <mergeCells count="126">
    <mergeCell ref="F1:M4"/>
    <mergeCell ref="N1:Q2"/>
    <mergeCell ref="N3:O4"/>
    <mergeCell ref="P3:Q4"/>
    <mergeCell ref="B12:D12"/>
    <mergeCell ref="J12:L12"/>
    <mergeCell ref="B13:D13"/>
    <mergeCell ref="J13:L13"/>
    <mergeCell ref="J9:L9"/>
    <mergeCell ref="N9:P9"/>
    <mergeCell ref="J10:L10"/>
    <mergeCell ref="N10:P10"/>
    <mergeCell ref="J11:L11"/>
    <mergeCell ref="F5:I14"/>
    <mergeCell ref="J5:M6"/>
    <mergeCell ref="N5:Q6"/>
    <mergeCell ref="B7:D7"/>
    <mergeCell ref="J7:L7"/>
    <mergeCell ref="N7:P7"/>
    <mergeCell ref="J8:L8"/>
    <mergeCell ref="N8:P8"/>
    <mergeCell ref="A1:E2"/>
    <mergeCell ref="A3:E4"/>
    <mergeCell ref="N11:P11"/>
    <mergeCell ref="A15:A29"/>
    <mergeCell ref="B15:E15"/>
    <mergeCell ref="B28:D28"/>
    <mergeCell ref="F28:H28"/>
    <mergeCell ref="A5:A14"/>
    <mergeCell ref="B5:E6"/>
    <mergeCell ref="F27:H27"/>
    <mergeCell ref="B29:D29"/>
    <mergeCell ref="B8:D8"/>
    <mergeCell ref="B9:D9"/>
    <mergeCell ref="F15:Q15"/>
    <mergeCell ref="B10:E11"/>
    <mergeCell ref="F26:I26"/>
    <mergeCell ref="J28:L28"/>
    <mergeCell ref="B16:E25"/>
    <mergeCell ref="J29:L29"/>
    <mergeCell ref="N26:O26"/>
    <mergeCell ref="F29:H29"/>
    <mergeCell ref="B27:E27"/>
    <mergeCell ref="M26:M27"/>
    <mergeCell ref="J26:L27"/>
    <mergeCell ref="Q28:Q29"/>
    <mergeCell ref="N12:P12"/>
    <mergeCell ref="N13:P13"/>
    <mergeCell ref="B60:D61"/>
    <mergeCell ref="E60:E61"/>
    <mergeCell ref="B45:E45"/>
    <mergeCell ref="F45:I45"/>
    <mergeCell ref="B26:D26"/>
    <mergeCell ref="F16:K25"/>
    <mergeCell ref="L16:Q25"/>
    <mergeCell ref="B56:D56"/>
    <mergeCell ref="A30:A43"/>
    <mergeCell ref="F60:H61"/>
    <mergeCell ref="I60:I61"/>
    <mergeCell ref="B30:E30"/>
    <mergeCell ref="F30:I30"/>
    <mergeCell ref="J30:M30"/>
    <mergeCell ref="N30:Q30"/>
    <mergeCell ref="P28:P29"/>
    <mergeCell ref="N28:O29"/>
    <mergeCell ref="J60:L61"/>
    <mergeCell ref="M60:M61"/>
    <mergeCell ref="F58:H58"/>
    <mergeCell ref="J58:L58"/>
    <mergeCell ref="N27:O27"/>
    <mergeCell ref="J45:M45"/>
    <mergeCell ref="N45:Q45"/>
    <mergeCell ref="N14:P14"/>
    <mergeCell ref="N58:P58"/>
    <mergeCell ref="B46:E55"/>
    <mergeCell ref="F46:I55"/>
    <mergeCell ref="B31:E43"/>
    <mergeCell ref="F31:I43"/>
    <mergeCell ref="J31:M43"/>
    <mergeCell ref="N31:Q43"/>
    <mergeCell ref="J46:M55"/>
    <mergeCell ref="N46:Q55"/>
    <mergeCell ref="B14:D14"/>
    <mergeCell ref="J14:L14"/>
    <mergeCell ref="N60:P61"/>
    <mergeCell ref="Q60:Q61"/>
    <mergeCell ref="B58:D58"/>
    <mergeCell ref="A44:Q44"/>
    <mergeCell ref="A45:A63"/>
    <mergeCell ref="B59:D59"/>
    <mergeCell ref="F59:H59"/>
    <mergeCell ref="J59:L59"/>
    <mergeCell ref="N59:P59"/>
    <mergeCell ref="B57:E57"/>
    <mergeCell ref="F57:I57"/>
    <mergeCell ref="J57:M57"/>
    <mergeCell ref="N57:Q57"/>
    <mergeCell ref="F56:H56"/>
    <mergeCell ref="J56:L56"/>
    <mergeCell ref="N56:P56"/>
    <mergeCell ref="N62:P63"/>
    <mergeCell ref="Q62:Q63"/>
    <mergeCell ref="B62:D63"/>
    <mergeCell ref="E62:E63"/>
    <mergeCell ref="F62:H63"/>
    <mergeCell ref="I62:I63"/>
    <mergeCell ref="J62:L63"/>
    <mergeCell ref="M62:M63"/>
    <mergeCell ref="A83:R83"/>
    <mergeCell ref="A84:Q84"/>
    <mergeCell ref="A79:S79"/>
    <mergeCell ref="A80:S80"/>
    <mergeCell ref="A81:S81"/>
    <mergeCell ref="A82:S82"/>
    <mergeCell ref="A85:R85"/>
    <mergeCell ref="A86:S86"/>
    <mergeCell ref="A64:A77"/>
    <mergeCell ref="F64:I64"/>
    <mergeCell ref="J64:M64"/>
    <mergeCell ref="N64:Q64"/>
    <mergeCell ref="A78:Q78"/>
    <mergeCell ref="B65:E77"/>
    <mergeCell ref="F65:I77"/>
    <mergeCell ref="J65:M77"/>
    <mergeCell ref="N65:Q77"/>
    <mergeCell ref="B64:E64"/>
  </mergeCells>
  <conditionalFormatting sqref="E29 Q26:Q29">
    <cfRule type="containsText" dxfId="4" priority="10" operator="containsText" text="fail">
      <formula>NOT(ISERROR(SEARCH("fail",E26)))</formula>
    </cfRule>
  </conditionalFormatting>
  <conditionalFormatting sqref="E62:E63">
    <cfRule type="containsText" dxfId="3" priority="7" operator="containsText" text="fail">
      <formula>NOT(ISERROR(SEARCH("fail",E62)))</formula>
    </cfRule>
    <cfRule type="colorScale" priority="8">
      <colorScale>
        <cfvo type="min"/>
        <cfvo type="percentile" val="50"/>
        <cfvo type="max"/>
        <color rgb="FFF8696B"/>
        <color rgb="FFFFEB84"/>
        <color rgb="FF63BE7B"/>
      </colorScale>
    </cfRule>
  </conditionalFormatting>
  <conditionalFormatting sqref="I62:I63">
    <cfRule type="containsText" dxfId="2" priority="5" operator="containsText" text="fail">
      <formula>NOT(ISERROR(SEARCH("fail",I62)))</formula>
    </cfRule>
    <cfRule type="colorScale" priority="6">
      <colorScale>
        <cfvo type="min"/>
        <cfvo type="percentile" val="50"/>
        <cfvo type="max"/>
        <color rgb="FFF8696B"/>
        <color rgb="FFFFEB84"/>
        <color rgb="FF63BE7B"/>
      </colorScale>
    </cfRule>
  </conditionalFormatting>
  <conditionalFormatting sqref="M62:M63">
    <cfRule type="containsText" dxfId="1" priority="3" operator="containsText" text="fail">
      <formula>NOT(ISERROR(SEARCH("fail",M62)))</formula>
    </cfRule>
    <cfRule type="colorScale" priority="4">
      <colorScale>
        <cfvo type="min"/>
        <cfvo type="percentile" val="50"/>
        <cfvo type="max"/>
        <color rgb="FFF8696B"/>
        <color rgb="FFFFEB84"/>
        <color rgb="FF63BE7B"/>
      </colorScale>
    </cfRule>
  </conditionalFormatting>
  <conditionalFormatting sqref="Q62:Q63">
    <cfRule type="containsText" dxfId="0" priority="1" operator="containsText" text="fail">
      <formula>NOT(ISERROR(SEARCH("fail",Q62)))</formula>
    </cfRule>
    <cfRule type="colorScale" priority="2">
      <colorScale>
        <cfvo type="min"/>
        <cfvo type="percentile" val="50"/>
        <cfvo type="max"/>
        <color rgb="FFF8696B"/>
        <color rgb="FFFFEB84"/>
        <color rgb="FF63BE7B"/>
      </colorScale>
    </cfRule>
  </conditionalFormatting>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Drop Down 7">
              <controlPr defaultSize="0" autoLine="0" autoPict="0">
                <anchor moveWithCells="1">
                  <from>
                    <xdr:col>3</xdr:col>
                    <xdr:colOff>1009650</xdr:colOff>
                    <xdr:row>26</xdr:row>
                    <xdr:rowOff>66675</xdr:rowOff>
                  </from>
                  <to>
                    <xdr:col>4</xdr:col>
                    <xdr:colOff>676275</xdr:colOff>
                    <xdr:row>26</xdr:row>
                    <xdr:rowOff>352425</xdr:rowOff>
                  </to>
                </anchor>
              </controlPr>
            </control>
          </mc:Choice>
        </mc:AlternateContent>
        <mc:AlternateContent xmlns:mc="http://schemas.openxmlformats.org/markup-compatibility/2006">
          <mc:Choice Requires="x14">
            <control shapeId="1033" r:id="rId5" name="Drop Down 9">
              <controlPr defaultSize="0" autoLine="0" autoPict="0">
                <anchor moveWithCells="1">
                  <from>
                    <xdr:col>7</xdr:col>
                    <xdr:colOff>257175</xdr:colOff>
                    <xdr:row>25</xdr:row>
                    <xdr:rowOff>57150</xdr:rowOff>
                  </from>
                  <to>
                    <xdr:col>8</xdr:col>
                    <xdr:colOff>819150</xdr:colOff>
                    <xdr:row>25</xdr:row>
                    <xdr:rowOff>333375</xdr:rowOff>
                  </to>
                </anchor>
              </controlPr>
            </control>
          </mc:Choice>
        </mc:AlternateContent>
        <mc:AlternateContent xmlns:mc="http://schemas.openxmlformats.org/markup-compatibility/2006">
          <mc:Choice Requires="x14">
            <control shapeId="1036" r:id="rId6" name="Drop Down 12">
              <controlPr defaultSize="0" autoLine="0" autoPict="0">
                <anchor moveWithCells="1">
                  <from>
                    <xdr:col>3</xdr:col>
                    <xdr:colOff>1485900</xdr:colOff>
                    <xdr:row>56</xdr:row>
                    <xdr:rowOff>19050</xdr:rowOff>
                  </from>
                  <to>
                    <xdr:col>4</xdr:col>
                    <xdr:colOff>676275</xdr:colOff>
                    <xdr:row>56</xdr:row>
                    <xdr:rowOff>285750</xdr:rowOff>
                  </to>
                </anchor>
              </controlPr>
            </control>
          </mc:Choice>
        </mc:AlternateContent>
        <mc:AlternateContent xmlns:mc="http://schemas.openxmlformats.org/markup-compatibility/2006">
          <mc:Choice Requires="x14">
            <control shapeId="1038" r:id="rId7" name="Drop Down 14">
              <controlPr defaultSize="0" autoLine="0" autoPict="0">
                <anchor moveWithCells="1">
                  <from>
                    <xdr:col>7</xdr:col>
                    <xdr:colOff>1133475</xdr:colOff>
                    <xdr:row>56</xdr:row>
                    <xdr:rowOff>19050</xdr:rowOff>
                  </from>
                  <to>
                    <xdr:col>8</xdr:col>
                    <xdr:colOff>828675</xdr:colOff>
                    <xdr:row>56</xdr:row>
                    <xdr:rowOff>285750</xdr:rowOff>
                  </to>
                </anchor>
              </controlPr>
            </control>
          </mc:Choice>
        </mc:AlternateContent>
        <mc:AlternateContent xmlns:mc="http://schemas.openxmlformats.org/markup-compatibility/2006">
          <mc:Choice Requires="x14">
            <control shapeId="1039" r:id="rId8" name="Drop Down 15">
              <controlPr defaultSize="0" autoLine="0" autoPict="0">
                <anchor moveWithCells="1">
                  <from>
                    <xdr:col>12</xdr:col>
                    <xdr:colOff>9525</xdr:colOff>
                    <xdr:row>56</xdr:row>
                    <xdr:rowOff>28575</xdr:rowOff>
                  </from>
                  <to>
                    <xdr:col>12</xdr:col>
                    <xdr:colOff>790575</xdr:colOff>
                    <xdr:row>56</xdr:row>
                    <xdr:rowOff>276225</xdr:rowOff>
                  </to>
                </anchor>
              </controlPr>
            </control>
          </mc:Choice>
        </mc:AlternateContent>
        <mc:AlternateContent xmlns:mc="http://schemas.openxmlformats.org/markup-compatibility/2006">
          <mc:Choice Requires="x14">
            <control shapeId="1041" r:id="rId9" name="Drop Down 17">
              <controlPr defaultSize="0" autoLine="0" autoPict="0">
                <anchor moveWithCells="1">
                  <from>
                    <xdr:col>14</xdr:col>
                    <xdr:colOff>1314450</xdr:colOff>
                    <xdr:row>56</xdr:row>
                    <xdr:rowOff>19050</xdr:rowOff>
                  </from>
                  <to>
                    <xdr:col>16</xdr:col>
                    <xdr:colOff>742950</xdr:colOff>
                    <xdr:row>56</xdr:row>
                    <xdr:rowOff>276225</xdr:rowOff>
                  </to>
                </anchor>
              </controlPr>
            </control>
          </mc:Choice>
        </mc:AlternateContent>
        <mc:AlternateContent xmlns:mc="http://schemas.openxmlformats.org/markup-compatibility/2006">
          <mc:Choice Requires="x14">
            <control shapeId="1054" r:id="rId10" name="Group Box 30">
              <controlPr defaultSize="0" autoFill="0" autoPict="0">
                <anchor moveWithCells="1" sizeWithCells="1">
                  <from>
                    <xdr:col>9</xdr:col>
                    <xdr:colOff>57150</xdr:colOff>
                    <xdr:row>30</xdr:row>
                    <xdr:rowOff>66675</xdr:rowOff>
                  </from>
                  <to>
                    <xdr:col>13</xdr:col>
                    <xdr:colOff>19050</xdr:colOff>
                    <xdr:row>42</xdr:row>
                    <xdr:rowOff>200025</xdr:rowOff>
                  </to>
                </anchor>
              </controlPr>
            </control>
          </mc:Choice>
        </mc:AlternateContent>
        <mc:AlternateContent xmlns:mc="http://schemas.openxmlformats.org/markup-compatibility/2006">
          <mc:Choice Requires="x14">
            <control shapeId="1055" r:id="rId11" name="Option Button 31">
              <controlPr defaultSize="0" autoFill="0" autoLine="0" autoPict="0">
                <anchor moveWithCells="1" sizeWithCells="1">
                  <from>
                    <xdr:col>12</xdr:col>
                    <xdr:colOff>180975</xdr:colOff>
                    <xdr:row>30</xdr:row>
                    <xdr:rowOff>114300</xdr:rowOff>
                  </from>
                  <to>
                    <xdr:col>12</xdr:col>
                    <xdr:colOff>733425</xdr:colOff>
                    <xdr:row>31</xdr:row>
                    <xdr:rowOff>85725</xdr:rowOff>
                  </to>
                </anchor>
              </controlPr>
            </control>
          </mc:Choice>
        </mc:AlternateContent>
        <mc:AlternateContent xmlns:mc="http://schemas.openxmlformats.org/markup-compatibility/2006">
          <mc:Choice Requires="x14">
            <control shapeId="1056" r:id="rId12" name="Option Button 32">
              <controlPr defaultSize="0" autoFill="0" autoLine="0" autoPict="0">
                <anchor moveWithCells="1" sizeWithCells="1">
                  <from>
                    <xdr:col>12</xdr:col>
                    <xdr:colOff>171450</xdr:colOff>
                    <xdr:row>31</xdr:row>
                    <xdr:rowOff>95250</xdr:rowOff>
                  </from>
                  <to>
                    <xdr:col>12</xdr:col>
                    <xdr:colOff>819150</xdr:colOff>
                    <xdr:row>32</xdr:row>
                    <xdr:rowOff>66675</xdr:rowOff>
                  </to>
                </anchor>
              </controlPr>
            </control>
          </mc:Choice>
        </mc:AlternateContent>
        <mc:AlternateContent xmlns:mc="http://schemas.openxmlformats.org/markup-compatibility/2006">
          <mc:Choice Requires="x14">
            <control shapeId="1047" r:id="rId13" name="Option Button 23">
              <controlPr defaultSize="0" autoFill="0" autoLine="0" autoPict="0">
                <anchor moveWithCells="1" sizeWithCells="1">
                  <from>
                    <xdr:col>8</xdr:col>
                    <xdr:colOff>190500</xdr:colOff>
                    <xdr:row>31</xdr:row>
                    <xdr:rowOff>104775</xdr:rowOff>
                  </from>
                  <to>
                    <xdr:col>8</xdr:col>
                    <xdr:colOff>819150</xdr:colOff>
                    <xdr:row>32</xdr:row>
                    <xdr:rowOff>76200</xdr:rowOff>
                  </to>
                </anchor>
              </controlPr>
            </control>
          </mc:Choice>
        </mc:AlternateContent>
        <mc:AlternateContent xmlns:mc="http://schemas.openxmlformats.org/markup-compatibility/2006">
          <mc:Choice Requires="x14">
            <control shapeId="1048" r:id="rId14" name="Option Button 24">
              <controlPr defaultSize="0" autoFill="0" autoLine="0" autoPict="0">
                <anchor moveWithCells="1" sizeWithCells="1">
                  <from>
                    <xdr:col>8</xdr:col>
                    <xdr:colOff>200025</xdr:colOff>
                    <xdr:row>30</xdr:row>
                    <xdr:rowOff>114300</xdr:rowOff>
                  </from>
                  <to>
                    <xdr:col>8</xdr:col>
                    <xdr:colOff>828675</xdr:colOff>
                    <xdr:row>31</xdr:row>
                    <xdr:rowOff>85725</xdr:rowOff>
                  </to>
                </anchor>
              </controlPr>
            </control>
          </mc:Choice>
        </mc:AlternateContent>
        <mc:AlternateContent xmlns:mc="http://schemas.openxmlformats.org/markup-compatibility/2006">
          <mc:Choice Requires="x14">
            <control shapeId="2" r:id="rId15" name="Group Box 36">
              <controlPr defaultSize="0" autoFill="0" autoPict="0">
                <anchor moveWithCells="1" sizeWithCells="1">
                  <from>
                    <xdr:col>5</xdr:col>
                    <xdr:colOff>57150</xdr:colOff>
                    <xdr:row>30</xdr:row>
                    <xdr:rowOff>57150</xdr:rowOff>
                  </from>
                  <to>
                    <xdr:col>8</xdr:col>
                    <xdr:colOff>838200</xdr:colOff>
                    <xdr:row>42</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3"/>
  <sheetViews>
    <sheetView topLeftCell="A25" zoomScale="85" zoomScaleNormal="85" workbookViewId="0">
      <selection activeCell="B37" sqref="B37"/>
    </sheetView>
  </sheetViews>
  <sheetFormatPr defaultRowHeight="15" x14ac:dyDescent="0.25"/>
  <cols>
    <col min="2" max="2" width="34.28515625" customWidth="1"/>
    <col min="3" max="3" width="59.140625" customWidth="1"/>
    <col min="5" max="5" width="19.85546875" style="17" customWidth="1"/>
    <col min="6" max="6" width="24.85546875" style="17" customWidth="1"/>
    <col min="7" max="7" width="48.85546875" style="17" customWidth="1"/>
    <col min="8" max="8" width="9.140625" style="17"/>
    <col min="14" max="14" width="36.5703125" customWidth="1"/>
    <col min="21" max="21" width="23.5703125" customWidth="1"/>
    <col min="28" max="28" width="22.7109375" customWidth="1"/>
  </cols>
  <sheetData>
    <row r="1" spans="1:33" ht="42" customHeight="1" thickTop="1" thickBot="1" x14ac:dyDescent="0.3">
      <c r="N1" s="48" t="s">
        <v>95</v>
      </c>
      <c r="O1" s="229" t="s">
        <v>201</v>
      </c>
      <c r="P1" s="230"/>
      <c r="Q1" s="230"/>
      <c r="R1" s="230"/>
      <c r="S1" s="231"/>
      <c r="U1" s="48" t="s">
        <v>95</v>
      </c>
      <c r="V1" s="229" t="s">
        <v>202</v>
      </c>
      <c r="W1" s="230"/>
      <c r="X1" s="230"/>
      <c r="Y1" s="230"/>
      <c r="Z1" s="231"/>
      <c r="AB1" s="48" t="s">
        <v>95</v>
      </c>
      <c r="AC1" s="229" t="s">
        <v>203</v>
      </c>
      <c r="AD1" s="230"/>
      <c r="AE1" s="230"/>
      <c r="AF1" s="230"/>
      <c r="AG1" s="231"/>
    </row>
    <row r="2" spans="1:33" ht="48.75" customHeight="1" thickTop="1" thickBot="1" x14ac:dyDescent="0.3">
      <c r="A2" s="14" t="s">
        <v>32</v>
      </c>
      <c r="B2" s="15" t="s">
        <v>33</v>
      </c>
      <c r="C2" s="16" t="s">
        <v>61</v>
      </c>
      <c r="D2" s="15" t="s">
        <v>34</v>
      </c>
      <c r="E2" s="18" t="s">
        <v>35</v>
      </c>
      <c r="F2" s="18" t="s">
        <v>36</v>
      </c>
      <c r="G2" s="25"/>
      <c r="H2" s="19" t="s">
        <v>37</v>
      </c>
      <c r="N2" s="42">
        <v>3</v>
      </c>
      <c r="O2" s="38" t="s">
        <v>96</v>
      </c>
      <c r="P2" s="38" t="s">
        <v>97</v>
      </c>
      <c r="Q2" s="38" t="s">
        <v>98</v>
      </c>
      <c r="R2" s="38" t="s">
        <v>99</v>
      </c>
      <c r="S2" s="39" t="s">
        <v>100</v>
      </c>
      <c r="U2" s="42">
        <v>5</v>
      </c>
      <c r="V2" s="38" t="s">
        <v>96</v>
      </c>
      <c r="W2" s="38" t="s">
        <v>97</v>
      </c>
      <c r="X2" s="38" t="s">
        <v>98</v>
      </c>
      <c r="Y2" s="38" t="s">
        <v>99</v>
      </c>
      <c r="Z2" s="39" t="s">
        <v>100</v>
      </c>
      <c r="AB2" s="42">
        <v>2</v>
      </c>
      <c r="AC2" s="38" t="s">
        <v>96</v>
      </c>
      <c r="AD2" s="38" t="s">
        <v>97</v>
      </c>
      <c r="AE2" s="38" t="s">
        <v>98</v>
      </c>
      <c r="AF2" s="38" t="s">
        <v>99</v>
      </c>
      <c r="AG2" s="39" t="s">
        <v>100</v>
      </c>
    </row>
    <row r="3" spans="1:33" ht="41.25" customHeight="1" thickTop="1" thickBot="1" x14ac:dyDescent="0.3">
      <c r="A3" s="2">
        <v>1</v>
      </c>
      <c r="B3" s="3" t="s">
        <v>38</v>
      </c>
      <c r="C3" s="13" t="s">
        <v>51</v>
      </c>
      <c r="D3" s="3" t="s">
        <v>39</v>
      </c>
      <c r="E3" s="20">
        <f>'Calculation Sheet'!E26</f>
        <v>3.1E-2</v>
      </c>
      <c r="F3" s="20">
        <f>2*(1/Fe)*Eh* (tr/D )^3</f>
        <v>4.7715262807171428E-2</v>
      </c>
      <c r="G3" s="27" t="s">
        <v>70</v>
      </c>
      <c r="H3" s="21" t="str">
        <f>IF(E3&lt;=F3,"pass","fail")</f>
        <v>pass</v>
      </c>
      <c r="N3" s="34">
        <v>120</v>
      </c>
      <c r="O3" s="32">
        <f>IF(N2=1,0.107,0)</f>
        <v>0</v>
      </c>
      <c r="P3" s="32">
        <f>IF(N2=1,0.192,0)</f>
        <v>0</v>
      </c>
      <c r="Q3" s="32">
        <f>IF(N2=1,1.171,0)</f>
        <v>0</v>
      </c>
      <c r="R3" s="32">
        <f>IF(N2=1,0.75,0)</f>
        <v>0</v>
      </c>
      <c r="S3" s="33">
        <f>IF(N2=1,0.0528,0)</f>
        <v>0</v>
      </c>
      <c r="U3" s="81">
        <v>120</v>
      </c>
      <c r="V3" s="79">
        <f>IF(U2=1,0.107,0)</f>
        <v>0</v>
      </c>
      <c r="W3" s="79">
        <f>IF(U2=1,0.192,0)</f>
        <v>0</v>
      </c>
      <c r="X3" s="79">
        <f>IF(U2=1,1.171,0)</f>
        <v>0</v>
      </c>
      <c r="Y3" s="79">
        <f>IF(U2=1,0.75,0)</f>
        <v>0</v>
      </c>
      <c r="Z3" s="82">
        <f>IF(U2=1,0.0528,0)</f>
        <v>0</v>
      </c>
      <c r="AB3" s="81">
        <v>120</v>
      </c>
      <c r="AC3" s="79">
        <f>IF(AB2=1,0.107,0)</f>
        <v>0</v>
      </c>
      <c r="AD3" s="79">
        <f>IF(AB2=1,0.192,0)</f>
        <v>0</v>
      </c>
      <c r="AE3" s="79">
        <f>IF(AB2=1,1.171,0)</f>
        <v>0</v>
      </c>
      <c r="AF3" s="79">
        <f>IF(AB2=1,0.75,0)</f>
        <v>0</v>
      </c>
      <c r="AG3" s="82">
        <f>IF(AB2=1,0.0528,0)</f>
        <v>0</v>
      </c>
    </row>
    <row r="4" spans="1:33" ht="41.25" customHeight="1" thickTop="1" thickBot="1" x14ac:dyDescent="0.3">
      <c r="A4" s="2">
        <v>2</v>
      </c>
      <c r="B4" s="4" t="s">
        <v>40</v>
      </c>
      <c r="C4" s="13" t="s">
        <v>52</v>
      </c>
      <c r="D4" s="3" t="s">
        <v>41</v>
      </c>
      <c r="E4" s="20">
        <f>selected_Fa</f>
        <v>33941.673000000003</v>
      </c>
      <c r="F4" s="20">
        <f>(((3.14)^3 *D^3* tr)/(8*L^2 )) *Ea*10^(-6)</f>
        <v>172447.12712791152</v>
      </c>
      <c r="G4" s="28" t="s">
        <v>71</v>
      </c>
      <c r="H4" s="21" t="str">
        <f>IF(E4&lt;=F4,"pass","fail")</f>
        <v>pass</v>
      </c>
      <c r="N4" s="34">
        <v>135</v>
      </c>
      <c r="O4" s="32">
        <f>IF(N2=2,0.132,0)</f>
        <v>0</v>
      </c>
      <c r="P4" s="32">
        <f>IF(N2=2,0.234,0)</f>
        <v>0</v>
      </c>
      <c r="Q4" s="32">
        <f>IF(N2=2,0.958,0)</f>
        <v>0</v>
      </c>
      <c r="R4" s="32">
        <f>IF(N2=2,0.711,0)</f>
        <v>0</v>
      </c>
      <c r="S4" s="33">
        <f>IF(N2=2,0.0413,0)</f>
        <v>0</v>
      </c>
      <c r="U4" s="81">
        <v>135</v>
      </c>
      <c r="V4" s="79">
        <f>IF(U2=2,0.132,0)</f>
        <v>0</v>
      </c>
      <c r="W4" s="79">
        <f>IF(U2=2,0.234,0)</f>
        <v>0</v>
      </c>
      <c r="X4" s="79">
        <f>IF(U2=2,0.958,0)</f>
        <v>0</v>
      </c>
      <c r="Y4" s="79">
        <f>IF(U2=2,0.711,0)</f>
        <v>0</v>
      </c>
      <c r="Z4" s="82">
        <f>IF(U2=2,0.0413,0)</f>
        <v>0</v>
      </c>
      <c r="AB4" s="81">
        <v>135</v>
      </c>
      <c r="AC4" s="79">
        <f>IF(AB2=2,0.132,0)</f>
        <v>0.13200000000000001</v>
      </c>
      <c r="AD4" s="79">
        <f>IF(AB2=2,0.234,0)</f>
        <v>0.23400000000000001</v>
      </c>
      <c r="AE4" s="79">
        <f>IF(AB2=2,0.958,0)</f>
        <v>0.95799999999999996</v>
      </c>
      <c r="AF4" s="79">
        <f>IF(AB2=2,0.711,0)</f>
        <v>0.71099999999999997</v>
      </c>
      <c r="AG4" s="82">
        <f>IF(AB2=2,0.0413,0)</f>
        <v>4.1300000000000003E-2</v>
      </c>
    </row>
    <row r="5" spans="1:33" ht="41.25" customHeight="1" thickTop="1" thickBot="1" x14ac:dyDescent="0.3">
      <c r="A5" s="234">
        <v>3</v>
      </c>
      <c r="B5" s="232" t="s">
        <v>42</v>
      </c>
      <c r="C5" s="13" t="s">
        <v>53</v>
      </c>
      <c r="D5" s="3" t="s">
        <v>39</v>
      </c>
      <c r="E5" s="20">
        <f>(0.125/(tr/1000))*((2*P*(D/1000))+((9.81*ρ_L*(Di/1000)^2)+((9.81*ρ_L)/sadk1)*(SUPA^2-0.5*(Di/1000)^2))*10^(-6))</f>
        <v>44.060634667615908</v>
      </c>
      <c r="F5" s="20">
        <f>(((1-rr)*Shoo_plocal_general))/2+('Calculation Sheet'!Q10*'Calculation Sheet'!Q12*'Calculation Sheet'!Q13*'Calculation Sheet'!Q14)* (rr/2)*Sqs</f>
        <v>44.484469105372717</v>
      </c>
      <c r="G5" s="236" t="s">
        <v>72</v>
      </c>
      <c r="H5" s="21" t="str">
        <f>IF(MAX(E5,E6)&lt;=F5,"pass","fail")</f>
        <v>pass</v>
      </c>
      <c r="N5" s="34">
        <v>150</v>
      </c>
      <c r="O5" s="32">
        <f>IF(N2=3,0.161,0)</f>
        <v>0.161</v>
      </c>
      <c r="P5" s="32">
        <f>IF(N2=3,0.279,0)</f>
        <v>0.27900000000000003</v>
      </c>
      <c r="Q5" s="32">
        <f>IF(N2=3,0.799,0)</f>
        <v>0.79900000000000004</v>
      </c>
      <c r="R5" s="32">
        <f>IF(N2=3,0.673,0)</f>
        <v>0.67300000000000004</v>
      </c>
      <c r="S5" s="33">
        <f>IF(N2=3,0.0318,0)</f>
        <v>3.1800000000000002E-2</v>
      </c>
      <c r="U5" s="81">
        <v>150</v>
      </c>
      <c r="V5" s="79">
        <f>IF(U2=3,0.161,0)</f>
        <v>0</v>
      </c>
      <c r="W5" s="79">
        <f>IF(U2=3,0.279,0)</f>
        <v>0</v>
      </c>
      <c r="X5" s="79">
        <f>IF(U2=3,0.799,0)</f>
        <v>0</v>
      </c>
      <c r="Y5" s="79">
        <f>IF(U2=3,0.673,0)</f>
        <v>0</v>
      </c>
      <c r="Z5" s="82">
        <f>IF(U2=3,0.0318,0)</f>
        <v>0</v>
      </c>
      <c r="AB5" s="81">
        <v>150</v>
      </c>
      <c r="AC5" s="79">
        <f>IF(AB2=3,0.161,0)</f>
        <v>0</v>
      </c>
      <c r="AD5" s="79">
        <f>IF(AB2=3,0.279,0)</f>
        <v>0</v>
      </c>
      <c r="AE5" s="79">
        <f>IF(AB2=3,0.799,0)</f>
        <v>0</v>
      </c>
      <c r="AF5" s="79">
        <f>IF(AB2=3,0.673,0)</f>
        <v>0</v>
      </c>
      <c r="AG5" s="82">
        <f>IF(AB2=3,0.0318,0)</f>
        <v>0</v>
      </c>
    </row>
    <row r="6" spans="1:33" ht="41.25" customHeight="1" thickTop="1" thickBot="1" x14ac:dyDescent="0.3">
      <c r="A6" s="235"/>
      <c r="B6" s="233"/>
      <c r="C6" s="13" t="s">
        <v>54</v>
      </c>
      <c r="D6" s="3" t="s">
        <v>39</v>
      </c>
      <c r="E6" s="20">
        <f>(0.125/(tr/1000))*((2*P*(D/1000))+((9.81*ρ_L*(Di/1000)^2)-((9.81*ρ_L)/sadk2)*(SUPA^2-0.5*(Di/1000)^2))*10^(-6))</f>
        <v>6.1423978228342087</v>
      </c>
      <c r="F6" s="20">
        <f>F5</f>
        <v>44.484469105372717</v>
      </c>
      <c r="G6" s="236"/>
      <c r="H6" s="24"/>
      <c r="N6" s="34">
        <v>165</v>
      </c>
      <c r="O6" s="32">
        <f>IF(N2=4,0.193,0)</f>
        <v>0</v>
      </c>
      <c r="P6" s="32">
        <f>IF(N2=4,0.328,0)</f>
        <v>0</v>
      </c>
      <c r="Q6" s="32">
        <f>IF(N2=4,0.675,0)</f>
        <v>0</v>
      </c>
      <c r="R6" s="32">
        <f>IF(N2=4,0.645,0)</f>
        <v>0</v>
      </c>
      <c r="S6" s="33">
        <f>IF(N2=4,0.0238,0)</f>
        <v>0</v>
      </c>
      <c r="U6" s="81">
        <v>165</v>
      </c>
      <c r="V6" s="79">
        <f>IF(U2=4,0.193,0)</f>
        <v>0</v>
      </c>
      <c r="W6" s="79">
        <f>IF(U2=4,0.328,0)</f>
        <v>0</v>
      </c>
      <c r="X6" s="79">
        <f>IF(U2=4,0.675,0)</f>
        <v>0</v>
      </c>
      <c r="Y6" s="79">
        <f>IF(U2=4,0.645,0)</f>
        <v>0</v>
      </c>
      <c r="Z6" s="82">
        <f>IF(U2=4,0.0238,0)</f>
        <v>0</v>
      </c>
      <c r="AB6" s="81">
        <v>165</v>
      </c>
      <c r="AC6" s="79">
        <f>IF(AB2=4,0.193,0)</f>
        <v>0</v>
      </c>
      <c r="AD6" s="79">
        <f>IF(AB2=4,0.328,0)</f>
        <v>0</v>
      </c>
      <c r="AE6" s="79">
        <f>IF(AB2=4,0.675,0)</f>
        <v>0</v>
      </c>
      <c r="AF6" s="79">
        <f>IF(AB2=4,0.645,0)</f>
        <v>0</v>
      </c>
      <c r="AG6" s="82">
        <f>IF(AB2=4,0.0238,0)</f>
        <v>0</v>
      </c>
    </row>
    <row r="7" spans="1:33" ht="41.25" customHeight="1" thickTop="1" thickBot="1" x14ac:dyDescent="0.3">
      <c r="A7" s="5">
        <v>4</v>
      </c>
      <c r="B7" s="4" t="s">
        <v>43</v>
      </c>
      <c r="C7" s="13" t="s">
        <v>55</v>
      </c>
      <c r="D7" s="6" t="s">
        <v>39</v>
      </c>
      <c r="E7" s="20">
        <f>sadk3*ρ_eff*(9.81)*(3.14*D/(4*tr))*10^(-6)*SUPS</f>
        <v>6.4733140015438595</v>
      </c>
      <c r="F7" s="20">
        <v>10</v>
      </c>
      <c r="G7" s="27" t="s">
        <v>73</v>
      </c>
      <c r="H7" s="21" t="str">
        <f t="shared" ref="H7:H12" si="0">IF(E7&lt;=F7,"pass","fail")</f>
        <v>pass</v>
      </c>
      <c r="N7" s="35">
        <v>180</v>
      </c>
      <c r="O7" s="36">
        <f>IF(N2=5,0.22,0)</f>
        <v>0</v>
      </c>
      <c r="P7" s="36">
        <f>IF(N2=5,0.38,0)</f>
        <v>0</v>
      </c>
      <c r="Q7" s="36">
        <f>IF(N2=5,0.577,0)</f>
        <v>0</v>
      </c>
      <c r="R7" s="36">
        <f>IF(N2=5,0.624,0)</f>
        <v>0</v>
      </c>
      <c r="S7" s="37">
        <f>IF(N2=5,0.0174,0)</f>
        <v>0</v>
      </c>
      <c r="U7" s="83">
        <v>180</v>
      </c>
      <c r="V7" s="84">
        <f>IF(U2=5,0.22,0)</f>
        <v>0.22</v>
      </c>
      <c r="W7" s="84">
        <f>IF(U2=5,0.38,0)</f>
        <v>0.38</v>
      </c>
      <c r="X7" s="84">
        <f>IF(U2=5,0.577,0)</f>
        <v>0.57699999999999996</v>
      </c>
      <c r="Y7" s="84">
        <f>IF(U2=5,0.624,0)</f>
        <v>0.624</v>
      </c>
      <c r="Z7" s="85">
        <f>IF(U2=5,0.0174,0)</f>
        <v>1.7399999999999999E-2</v>
      </c>
      <c r="AB7" s="83">
        <v>180</v>
      </c>
      <c r="AC7" s="84">
        <f>IF(AB2=5,0.22,0)</f>
        <v>0</v>
      </c>
      <c r="AD7" s="84">
        <f>IF(AB2=5,0.38,0)</f>
        <v>0</v>
      </c>
      <c r="AE7" s="84">
        <f>IF(AB2=5,0.577,0)</f>
        <v>0</v>
      </c>
      <c r="AF7" s="84">
        <f>IF(AB2=5,0.624,0)</f>
        <v>0</v>
      </c>
      <c r="AG7" s="85">
        <f>IF(AB2=5,0.0174,0)</f>
        <v>0</v>
      </c>
    </row>
    <row r="8" spans="1:33" ht="41.25" customHeight="1" thickTop="1" thickBot="1" x14ac:dyDescent="0.3">
      <c r="A8" s="234" t="s">
        <v>44</v>
      </c>
      <c r="B8" s="232" t="s">
        <v>45</v>
      </c>
      <c r="C8" s="13" t="s">
        <v>56</v>
      </c>
      <c r="D8" s="3" t="s">
        <v>39</v>
      </c>
      <c r="E8" s="20">
        <f>-sadk4 *(9.81*SUPH* ρ_o)/(tr* (widthsaddle+10*tr))</f>
        <v>-1.8692538249921644</v>
      </c>
      <c r="F8" s="20">
        <f>'Calculation Sheet'!Q10*'Calculation Sheet'!Q11*'Calculation Sheet'!Q12*'Calculation Sheet'!Q13*'Calculation Sheet'!Q14*Sqs</f>
        <v>92.628</v>
      </c>
      <c r="G8" s="236" t="s">
        <v>74</v>
      </c>
      <c r="H8" s="21" t="str">
        <f>IF(MAX(E8,E9)+Shoop&lt;=Allowable_local_hoop,"pass","fail")</f>
        <v>pass</v>
      </c>
      <c r="N8" s="35" t="s">
        <v>131</v>
      </c>
      <c r="O8" s="36">
        <f>SUM(O3:O7)</f>
        <v>0.161</v>
      </c>
      <c r="P8" s="36">
        <f>SUM(P3:P7)</f>
        <v>0.27900000000000003</v>
      </c>
      <c r="Q8" s="36">
        <f>SUM(Q3:Q7)</f>
        <v>0.79900000000000004</v>
      </c>
      <c r="R8" s="36">
        <f>SUM(R3:R7)</f>
        <v>0.67300000000000004</v>
      </c>
      <c r="S8" s="37">
        <f>SUM(S3:S7)</f>
        <v>3.1800000000000002E-2</v>
      </c>
      <c r="U8" s="83" t="s">
        <v>131</v>
      </c>
      <c r="V8" s="84">
        <f>SUM(V3:V7)</f>
        <v>0.22</v>
      </c>
      <c r="W8" s="84">
        <f>SUM(W3:W7)</f>
        <v>0.38</v>
      </c>
      <c r="X8" s="84">
        <f>SUM(X3:X7)</f>
        <v>0.57699999999999996</v>
      </c>
      <c r="Y8" s="84">
        <f>SUM(Y3:Y7)</f>
        <v>0.624</v>
      </c>
      <c r="Z8" s="85">
        <f>SUM(Z3:Z7)</f>
        <v>1.7399999999999999E-2</v>
      </c>
      <c r="AB8" s="83" t="s">
        <v>131</v>
      </c>
      <c r="AC8" s="84">
        <f>SUM(AC3:AC7)</f>
        <v>0.13200000000000001</v>
      </c>
      <c r="AD8" s="84">
        <f>SUM(AD3:AD7)</f>
        <v>0.23400000000000001</v>
      </c>
      <c r="AE8" s="84">
        <f>SUM(AE3:AE7)</f>
        <v>0.95799999999999996</v>
      </c>
      <c r="AF8" s="84">
        <f>SUM(AF3:AF7)</f>
        <v>0.71099999999999997</v>
      </c>
      <c r="AG8" s="85">
        <f>SUM(AG3:AG7)</f>
        <v>4.1300000000000003E-2</v>
      </c>
    </row>
    <row r="9" spans="1:33" ht="41.25" customHeight="1" thickTop="1" thickBot="1" x14ac:dyDescent="0.3">
      <c r="A9" s="235"/>
      <c r="B9" s="233"/>
      <c r="C9" s="13" t="s">
        <v>57</v>
      </c>
      <c r="D9" s="3" t="s">
        <v>39</v>
      </c>
      <c r="E9" s="20">
        <f>((9.81*SUPH*ρ_o)/(4*tr*(widthsaddle+10*tr))+(3/2)*sadk5*((9.81*SUPH*ρ_o)/(tr^2)))</f>
        <v>13.059779324090872</v>
      </c>
      <c r="F9" s="20">
        <f>Allowable_local_hoop</f>
        <v>92.628</v>
      </c>
      <c r="G9" s="236"/>
      <c r="H9" s="24"/>
    </row>
    <row r="10" spans="1:33" ht="41.25" customHeight="1" thickTop="1" thickBot="1" x14ac:dyDescent="0.3">
      <c r="A10" s="8" t="s">
        <v>46</v>
      </c>
      <c r="B10" s="4" t="s">
        <v>91</v>
      </c>
      <c r="C10" s="13" t="s">
        <v>58</v>
      </c>
      <c r="D10" s="9" t="s">
        <v>39</v>
      </c>
      <c r="E10" s="20">
        <f>Maximum_compressive_axial_stress</f>
        <v>13.500000000000002</v>
      </c>
      <c r="F10" s="20">
        <f>(0.9*beta*((Ea*Eh)^0.5*tr)/D)/3</f>
        <v>66.228465153887669</v>
      </c>
      <c r="G10" s="27" t="s">
        <v>75</v>
      </c>
      <c r="H10" s="21" t="str">
        <f t="shared" si="0"/>
        <v>pass</v>
      </c>
      <c r="N10" s="41" t="s">
        <v>130</v>
      </c>
      <c r="O10" s="50">
        <v>1</v>
      </c>
    </row>
    <row r="11" spans="1:33" ht="41.25" customHeight="1" thickTop="1" thickBot="1" x14ac:dyDescent="0.3">
      <c r="A11" s="10" t="s">
        <v>47</v>
      </c>
      <c r="B11" s="4" t="s">
        <v>48</v>
      </c>
      <c r="C11" s="13" t="s">
        <v>59</v>
      </c>
      <c r="D11" s="9" t="s">
        <v>39</v>
      </c>
      <c r="E11" s="20">
        <f>Maximum_compressive_axial_stress</f>
        <v>13.500000000000002</v>
      </c>
      <c r="F11" s="20">
        <f>famax/(3.14*D*tr )/3</f>
        <v>22.863106131380203</v>
      </c>
      <c r="G11" s="27" t="s">
        <v>75</v>
      </c>
      <c r="H11" s="21" t="str">
        <f t="shared" si="0"/>
        <v>pass</v>
      </c>
      <c r="N11" s="44" t="s">
        <v>228</v>
      </c>
      <c r="O11" s="33">
        <f>IF(O10=1,1.5,0)</f>
        <v>1.5</v>
      </c>
    </row>
    <row r="12" spans="1:33" ht="42" customHeight="1" thickTop="1" thickBot="1" x14ac:dyDescent="0.3">
      <c r="A12" s="7" t="s">
        <v>49</v>
      </c>
      <c r="B12" s="11" t="s">
        <v>13</v>
      </c>
      <c r="C12" s="13" t="s">
        <v>60</v>
      </c>
      <c r="D12" s="12" t="s">
        <v>50</v>
      </c>
      <c r="E12" s="22">
        <f>(5*9.81*ρ_o*SUPD^4*10^(-3))/(ks*Ea* Ip)</f>
        <v>6.0685573443123557</v>
      </c>
      <c r="F12" s="22">
        <v>12.5</v>
      </c>
      <c r="G12" s="27" t="s">
        <v>76</v>
      </c>
      <c r="H12" s="21" t="str">
        <f t="shared" si="0"/>
        <v>pass</v>
      </c>
      <c r="N12" s="44" t="s">
        <v>229</v>
      </c>
      <c r="O12" s="33">
        <f>IF(O10=2,3,0)</f>
        <v>0</v>
      </c>
    </row>
    <row r="13" spans="1:33" ht="42.75" customHeight="1" thickTop="1" thickBot="1" x14ac:dyDescent="0.3">
      <c r="A13" s="10" t="s">
        <v>62</v>
      </c>
      <c r="B13" s="11" t="s">
        <v>68</v>
      </c>
      <c r="C13" s="13" t="s">
        <v>81</v>
      </c>
      <c r="D13" s="12" t="s">
        <v>69</v>
      </c>
      <c r="E13" s="22">
        <f>Di+2*t-tr</f>
        <v>266.89999999999998</v>
      </c>
      <c r="F13" s="23"/>
      <c r="G13" s="26"/>
      <c r="H13" s="24"/>
      <c r="N13" s="35" t="s">
        <v>131</v>
      </c>
      <c r="O13" s="37">
        <f>SUM(O11:O12)</f>
        <v>1.5</v>
      </c>
    </row>
    <row r="14" spans="1:33" ht="42.75" customHeight="1" thickTop="1" thickBot="1" x14ac:dyDescent="0.3">
      <c r="A14" s="7" t="s">
        <v>63</v>
      </c>
      <c r="B14" s="11" t="s">
        <v>78</v>
      </c>
      <c r="C14" s="13" t="s">
        <v>79</v>
      </c>
      <c r="D14" s="12" t="s">
        <v>39</v>
      </c>
      <c r="E14" s="22">
        <f>(Sqs*2*tr)/D</f>
        <v>2.7875608842263024</v>
      </c>
      <c r="F14" s="23"/>
      <c r="G14" s="26"/>
      <c r="H14" s="24"/>
    </row>
    <row r="15" spans="1:33" ht="42.75" customHeight="1" thickTop="1" thickBot="1" x14ac:dyDescent="0.3">
      <c r="A15" s="10" t="s">
        <v>64</v>
      </c>
      <c r="B15" s="11" t="s">
        <v>77</v>
      </c>
      <c r="C15" s="13" t="s">
        <v>80</v>
      </c>
      <c r="D15" s="12" t="s">
        <v>39</v>
      </c>
      <c r="E15" s="22">
        <f>E14*'Calculation Sheet'!Q12*'Calculation Sheet'!Q13*'Calculation Sheet'!Q14</f>
        <v>2.7875608842263024</v>
      </c>
      <c r="F15" s="23"/>
      <c r="G15" s="26"/>
      <c r="H15" s="24"/>
      <c r="N15" s="45" t="s">
        <v>154</v>
      </c>
      <c r="O15" s="40">
        <v>2</v>
      </c>
    </row>
    <row r="16" spans="1:33" ht="42.75" customHeight="1" thickTop="1" thickBot="1" x14ac:dyDescent="0.3">
      <c r="A16" s="7" t="s">
        <v>65</v>
      </c>
      <c r="B16" s="11" t="s">
        <v>88</v>
      </c>
      <c r="C16" s="13" t="s">
        <v>90</v>
      </c>
      <c r="D16" s="12" t="s">
        <v>89</v>
      </c>
      <c r="E16" s="22">
        <f>0.1887+0.8113*(0.83/(0.1+0.005*(Di/(tr)))^0.5)</f>
        <v>1.1066122611243019</v>
      </c>
      <c r="F16" s="23"/>
      <c r="G16" s="26"/>
      <c r="H16" s="24"/>
      <c r="N16" s="46" t="s">
        <v>177</v>
      </c>
      <c r="O16" s="32">
        <f>IF(Method_of_calculation_check=1,Applied_Fa,0)</f>
        <v>0</v>
      </c>
    </row>
    <row r="17" spans="1:15" ht="42.75" customHeight="1" thickTop="1" thickBot="1" x14ac:dyDescent="0.3">
      <c r="A17" s="10" t="s">
        <v>66</v>
      </c>
      <c r="B17" s="11" t="s">
        <v>101</v>
      </c>
      <c r="C17" s="13" t="s">
        <v>102</v>
      </c>
      <c r="D17" s="12" t="s">
        <v>39</v>
      </c>
      <c r="E17" s="22">
        <f>P*D/(2*tr )</f>
        <v>40.034999999999997</v>
      </c>
      <c r="F17" s="23"/>
      <c r="G17" s="26"/>
      <c r="H17" s="24"/>
      <c r="N17" s="46" t="s">
        <v>158</v>
      </c>
      <c r="O17" s="32">
        <f>IF(Method_of_calculation_check=2,Fa_thermal,0)</f>
        <v>33941.673000000003</v>
      </c>
    </row>
    <row r="18" spans="1:15" ht="43.5" customHeight="1" thickTop="1" thickBot="1" x14ac:dyDescent="0.3">
      <c r="A18" s="10" t="s">
        <v>67</v>
      </c>
      <c r="B18" s="11" t="s">
        <v>103</v>
      </c>
      <c r="C18" s="13" t="s">
        <v>105</v>
      </c>
      <c r="D18" s="12" t="s">
        <v>104</v>
      </c>
      <c r="E18" s="22">
        <f>ρ_L+4*(ρ_c*t)/Di</f>
        <v>1095.853936858121</v>
      </c>
      <c r="F18" s="23"/>
      <c r="G18" s="26"/>
      <c r="H18" s="24"/>
      <c r="N18" s="47" t="s">
        <v>159</v>
      </c>
      <c r="O18" s="36">
        <f>SUM(O16:O17)</f>
        <v>33941.673000000003</v>
      </c>
    </row>
    <row r="19" spans="1:15" ht="45.75" customHeight="1" thickTop="1" thickBot="1" x14ac:dyDescent="0.3">
      <c r="A19" s="10" t="s">
        <v>106</v>
      </c>
      <c r="B19" s="11" t="s">
        <v>107</v>
      </c>
      <c r="C19" s="13" t="s">
        <v>108</v>
      </c>
      <c r="D19" s="12" t="s">
        <v>104</v>
      </c>
      <c r="E19" s="22">
        <f>ρ_eff*(3.14*Di^2)*10^(-6)/4</f>
        <v>59.457069649999987</v>
      </c>
      <c r="F19" s="23"/>
      <c r="G19" s="26"/>
      <c r="H19" s="24"/>
    </row>
    <row r="20" spans="1:15" ht="45.75" customHeight="1" thickTop="1" thickBot="1" x14ac:dyDescent="0.3">
      <c r="A20" s="10" t="s">
        <v>109</v>
      </c>
      <c r="B20" s="11" t="s">
        <v>110</v>
      </c>
      <c r="C20" s="13" t="s">
        <v>114</v>
      </c>
      <c r="D20" s="12" t="s">
        <v>39</v>
      </c>
      <c r="E20" s="22">
        <f>P*D/(4*tr)</f>
        <v>20.017499999999998</v>
      </c>
      <c r="F20" s="23"/>
      <c r="G20" s="26"/>
      <c r="H20" s="24"/>
      <c r="N20" s="45" t="s">
        <v>165</v>
      </c>
      <c r="O20" s="40">
        <v>2</v>
      </c>
    </row>
    <row r="21" spans="1:15" ht="45.75" customHeight="1" thickTop="1" thickBot="1" x14ac:dyDescent="0.3">
      <c r="A21" s="10" t="s">
        <v>111</v>
      </c>
      <c r="B21" s="11" t="s">
        <v>121</v>
      </c>
      <c r="C21" s="13" t="s">
        <v>122</v>
      </c>
      <c r="D21" s="12" t="s">
        <v>39</v>
      </c>
      <c r="E21" s="22">
        <f>(Mi*((Di+2*t)/(2000)))/(Ip*10^6 )</f>
        <v>4.9037933000936427</v>
      </c>
      <c r="F21" s="23"/>
      <c r="G21" s="26"/>
      <c r="H21" s="24"/>
      <c r="N21" s="46" t="s">
        <v>166</v>
      </c>
      <c r="O21" s="32">
        <f>IF(O20=1,384,0)</f>
        <v>0</v>
      </c>
    </row>
    <row r="22" spans="1:15" ht="45.75" customHeight="1" thickTop="1" thickBot="1" x14ac:dyDescent="0.3">
      <c r="A22" s="10" t="s">
        <v>112</v>
      </c>
      <c r="B22" s="11" t="s">
        <v>163</v>
      </c>
      <c r="C22" s="13" t="s">
        <v>164</v>
      </c>
      <c r="D22" s="12" t="s">
        <v>39</v>
      </c>
      <c r="E22" s="22">
        <f>E20+E21</f>
        <v>24.921293300093641</v>
      </c>
      <c r="F22" s="22">
        <f>(((1-rr)*Shoop))/2+('Calculation Sheet'!Q10*'Calculation Sheet'!Q12*'Calculation Sheet'!Q13*'Calculation Sheet'!Q14)* (rr/2)*Sqs</f>
        <v>42.656099999999995</v>
      </c>
      <c r="G22" s="43" t="s">
        <v>72</v>
      </c>
      <c r="H22" s="21" t="str">
        <f>IF(E22&lt;=F22,"pass","fail")</f>
        <v>pass</v>
      </c>
      <c r="N22" s="46" t="s">
        <v>167</v>
      </c>
      <c r="O22" s="32">
        <f>IF(O20=2,925,0)</f>
        <v>925</v>
      </c>
    </row>
    <row r="23" spans="1:15" ht="45.75" customHeight="1" thickTop="1" thickBot="1" x14ac:dyDescent="0.3">
      <c r="A23" s="10" t="s">
        <v>117</v>
      </c>
      <c r="B23" s="11" t="s">
        <v>116</v>
      </c>
      <c r="C23" s="13" t="s">
        <v>113</v>
      </c>
      <c r="D23" s="12" t="s">
        <v>115</v>
      </c>
      <c r="E23" s="22">
        <f>((3.14/64)*((Di+2*t)^4-Di^4))*10^(-12)</f>
        <v>2.5976780480070045E-5</v>
      </c>
      <c r="F23" s="23"/>
      <c r="G23" s="26"/>
      <c r="H23" s="24"/>
      <c r="N23" s="47" t="s">
        <v>171</v>
      </c>
      <c r="O23" s="36">
        <f>IF(O20=3,1920,0)</f>
        <v>0</v>
      </c>
    </row>
    <row r="24" spans="1:15" ht="45.75" customHeight="1" thickTop="1" thickBot="1" x14ac:dyDescent="0.3">
      <c r="A24" s="10" t="s">
        <v>123</v>
      </c>
      <c r="B24" s="11" t="s">
        <v>118</v>
      </c>
      <c r="C24" s="13" t="s">
        <v>119</v>
      </c>
      <c r="D24" s="12" t="s">
        <v>120</v>
      </c>
      <c r="E24" s="22">
        <f xml:space="preserve"> 9.8*ρ_o*SUPA^2/8</f>
        <v>943.94043776339993</v>
      </c>
      <c r="F24" s="23"/>
      <c r="G24" s="26"/>
      <c r="H24" s="24"/>
      <c r="N24" s="47" t="s">
        <v>168</v>
      </c>
      <c r="O24" s="36">
        <f>SUM(O21:O23)</f>
        <v>925</v>
      </c>
    </row>
    <row r="25" spans="1:15" ht="43.5" customHeight="1" thickBot="1" x14ac:dyDescent="0.3">
      <c r="A25" s="10" t="s">
        <v>126</v>
      </c>
      <c r="B25" s="11" t="s">
        <v>124</v>
      </c>
      <c r="C25" s="29" t="s">
        <v>125</v>
      </c>
      <c r="D25" s="12" t="s">
        <v>39</v>
      </c>
      <c r="E25" s="22">
        <f>'Calculation Sheet'!Q10*'Calculation Sheet'!Q11*'Calculation Sheet'!Q12*'Calculation Sheet'!Q13*'Calculation Sheet'!Q14*Sqs</f>
        <v>92.628</v>
      </c>
      <c r="F25" s="23"/>
      <c r="G25" s="26"/>
      <c r="H25" s="24"/>
    </row>
    <row r="26" spans="1:15" ht="43.5" customHeight="1" thickTop="1" thickBot="1" x14ac:dyDescent="0.3">
      <c r="A26" s="10" t="s">
        <v>128</v>
      </c>
      <c r="B26" s="11" t="s">
        <v>127</v>
      </c>
      <c r="C26" s="13" t="s">
        <v>89</v>
      </c>
      <c r="D26" s="12" t="s">
        <v>39</v>
      </c>
      <c r="E26" s="22">
        <f>E21+E20</f>
        <v>24.921293300093641</v>
      </c>
      <c r="F26" s="23"/>
      <c r="G26" s="31"/>
      <c r="H26" s="24"/>
    </row>
    <row r="27" spans="1:15" ht="47.25" customHeight="1" thickTop="1" thickBot="1" x14ac:dyDescent="0.3">
      <c r="A27" s="10" t="s">
        <v>135</v>
      </c>
      <c r="B27" s="11" t="s">
        <v>129</v>
      </c>
      <c r="C27" s="13" t="s">
        <v>139</v>
      </c>
      <c r="D27" s="12" t="s">
        <v>39</v>
      </c>
      <c r="E27" s="22">
        <f>MAX(E8,E9)+E17</f>
        <v>53.094779324090865</v>
      </c>
      <c r="F27" s="23"/>
      <c r="G27" s="31"/>
      <c r="H27" s="24"/>
    </row>
    <row r="28" spans="1:15" ht="43.5" customHeight="1" thickTop="1" thickBot="1" x14ac:dyDescent="0.3">
      <c r="A28" s="10" t="s">
        <v>138</v>
      </c>
      <c r="B28" s="11" t="s">
        <v>136</v>
      </c>
      <c r="C28" s="13" t="s">
        <v>137</v>
      </c>
      <c r="D28" s="12" t="s">
        <v>39</v>
      </c>
      <c r="E28" s="22">
        <f>0.5*HDB</f>
        <v>62</v>
      </c>
      <c r="F28" s="23"/>
      <c r="G28" s="31"/>
      <c r="H28" s="24"/>
    </row>
    <row r="29" spans="1:15" ht="46.5" customHeight="1" thickTop="1" thickBot="1" x14ac:dyDescent="0.3">
      <c r="A29" s="10" t="s">
        <v>161</v>
      </c>
      <c r="B29" s="11" t="s">
        <v>142</v>
      </c>
      <c r="C29" s="13" t="s">
        <v>143</v>
      </c>
      <c r="D29" s="12" t="s">
        <v>39</v>
      </c>
      <c r="E29" s="22">
        <v>1</v>
      </c>
      <c r="F29" s="23"/>
      <c r="G29" s="31"/>
      <c r="H29" s="24"/>
    </row>
    <row r="30" spans="1:15" ht="41.25" customHeight="1" thickTop="1" thickBot="1" x14ac:dyDescent="0.3">
      <c r="A30" s="10" t="s">
        <v>147</v>
      </c>
      <c r="B30" s="11" t="s">
        <v>150</v>
      </c>
      <c r="C30" s="13" t="s">
        <v>160</v>
      </c>
      <c r="D30" s="12" t="s">
        <v>39</v>
      </c>
      <c r="E30" s="22">
        <f>selected_Fa/(3.14*D*tr)</f>
        <v>13.500000000000002</v>
      </c>
      <c r="F30" s="23"/>
      <c r="G30" s="31"/>
      <c r="H30" s="24"/>
    </row>
    <row r="31" spans="1:15" ht="44.25" customHeight="1" thickTop="1" thickBot="1" x14ac:dyDescent="0.3">
      <c r="A31" s="10" t="s">
        <v>162</v>
      </c>
      <c r="B31" s="11" t="s">
        <v>148</v>
      </c>
      <c r="C31" s="13" t="s">
        <v>149</v>
      </c>
      <c r="D31" s="12" t="s">
        <v>50</v>
      </c>
      <c r="E31" s="22">
        <f>Di+2*t</f>
        <v>269.89999999999998</v>
      </c>
      <c r="F31" s="23"/>
      <c r="G31" s="31"/>
      <c r="H31" s="24"/>
    </row>
    <row r="32" spans="1:15" ht="44.25" customHeight="1" thickTop="1" thickBot="1" x14ac:dyDescent="0.3">
      <c r="A32" s="10" t="s">
        <v>152</v>
      </c>
      <c r="B32" s="11" t="s">
        <v>155</v>
      </c>
      <c r="C32" s="13" t="s">
        <v>238</v>
      </c>
      <c r="D32" s="12" t="s">
        <v>239</v>
      </c>
      <c r="E32" s="22">
        <f>(3.14)*(D*tr)</f>
        <v>2514.1979999999999</v>
      </c>
      <c r="F32" s="23"/>
      <c r="G32" s="31"/>
      <c r="H32" s="24"/>
    </row>
    <row r="33" spans="1:8" ht="44.25" customHeight="1" thickTop="1" thickBot="1" x14ac:dyDescent="0.3">
      <c r="A33" s="10" t="s">
        <v>153</v>
      </c>
      <c r="B33" s="11" t="s">
        <v>156</v>
      </c>
      <c r="C33" s="13" t="s">
        <v>157</v>
      </c>
      <c r="D33" s="12" t="s">
        <v>41</v>
      </c>
      <c r="E33" s="22">
        <f>PipeCrossSection*Ea*alfa*temperature</f>
        <v>33941.673000000003</v>
      </c>
      <c r="F33" s="23"/>
      <c r="G33" s="31"/>
      <c r="H33" s="24"/>
    </row>
  </sheetData>
  <sheetProtection formatCells="0" formatColumns="0" formatRows="0" insertColumns="0" insertRows="0" insertHyperlinks="0" deleteColumns="0" deleteRows="0" sort="0" autoFilter="0" pivotTables="0"/>
  <mergeCells count="9">
    <mergeCell ref="AC1:AG1"/>
    <mergeCell ref="O1:S1"/>
    <mergeCell ref="B5:B6"/>
    <mergeCell ref="A5:A6"/>
    <mergeCell ref="A8:A9"/>
    <mergeCell ref="B8:B9"/>
    <mergeCell ref="G5:G6"/>
    <mergeCell ref="G8:G9"/>
    <mergeCell ref="V1:Z1"/>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K27"/>
  <sheetViews>
    <sheetView topLeftCell="R1" workbookViewId="0">
      <selection activeCell="AC15" sqref="AC15"/>
    </sheetView>
  </sheetViews>
  <sheetFormatPr defaultRowHeight="15" x14ac:dyDescent="0.25"/>
  <cols>
    <col min="1" max="4" width="9.140625" style="51"/>
    <col min="5" max="5" width="11.140625" style="51" customWidth="1"/>
    <col min="6" max="6" width="5.5703125" style="51" customWidth="1"/>
    <col min="7" max="10" width="9.140625" style="51"/>
    <col min="11" max="11" width="11.5703125" style="51" bestFit="1" customWidth="1"/>
    <col min="12" max="12" width="11.5703125" style="51" customWidth="1"/>
    <col min="13" max="13" width="10.5703125" style="51" bestFit="1" customWidth="1"/>
    <col min="14" max="16" width="9.140625" style="51"/>
    <col min="17" max="17" width="10.5703125" style="51" bestFit="1" customWidth="1"/>
    <col min="18" max="19" width="9.140625" style="51"/>
    <col min="20" max="20" width="9.85546875" style="51" customWidth="1"/>
    <col min="21" max="21" width="9.140625" style="51"/>
    <col min="22" max="22" width="10.28515625" style="51" customWidth="1"/>
    <col min="23" max="25" width="9.140625" style="51"/>
    <col min="26" max="27" width="11" style="51" customWidth="1"/>
    <col min="28" max="28" width="9.140625" style="51"/>
    <col min="29" max="29" width="12" style="51" customWidth="1"/>
    <col min="30" max="40" width="9.140625" style="51"/>
    <col min="41" max="41" width="10.85546875" style="51" customWidth="1"/>
    <col min="42" max="42" width="10.42578125" style="51" customWidth="1"/>
    <col min="43" max="50" width="9.140625" style="51"/>
    <col min="51" max="51" width="10.85546875" style="51" customWidth="1"/>
    <col min="52" max="52" width="10.42578125" style="51" customWidth="1"/>
    <col min="53" max="53" width="9.140625" style="51"/>
    <col min="54" max="54" width="12" style="51" customWidth="1"/>
    <col min="55" max="55" width="9.140625" style="51"/>
    <col min="56" max="57" width="11.5703125" style="51" customWidth="1"/>
    <col min="58" max="16384" width="9.140625" style="51"/>
  </cols>
  <sheetData>
    <row r="2" spans="2:63" ht="15.75" thickBot="1" x14ac:dyDescent="0.3"/>
    <row r="3" spans="2:63" ht="27.75" customHeight="1" thickTop="1" thickBot="1" x14ac:dyDescent="0.3">
      <c r="B3" s="249" t="s">
        <v>28</v>
      </c>
      <c r="C3" s="250"/>
      <c r="D3" s="250"/>
      <c r="E3" s="251"/>
      <c r="G3" s="252" t="s">
        <v>145</v>
      </c>
      <c r="H3" s="253"/>
      <c r="I3" s="254"/>
      <c r="J3" s="254"/>
      <c r="K3" s="254"/>
      <c r="L3" s="254"/>
      <c r="M3" s="60">
        <v>2</v>
      </c>
      <c r="N3" s="58"/>
      <c r="O3" s="70">
        <v>1</v>
      </c>
      <c r="P3" s="255" t="s">
        <v>29</v>
      </c>
      <c r="Q3" s="256"/>
      <c r="R3" s="256"/>
      <c r="S3" s="256"/>
      <c r="T3" s="256"/>
      <c r="U3" s="256"/>
      <c r="V3" s="257"/>
      <c r="W3" s="58"/>
      <c r="X3" s="258" t="s">
        <v>146</v>
      </c>
      <c r="Y3" s="259"/>
      <c r="Z3" s="259"/>
      <c r="AA3" s="260"/>
      <c r="AC3" s="241" t="s">
        <v>15</v>
      </c>
      <c r="AD3" s="245" t="s">
        <v>185</v>
      </c>
      <c r="AE3" s="245"/>
      <c r="AF3" s="245"/>
      <c r="AG3" s="245"/>
      <c r="AH3" s="245"/>
      <c r="AI3" s="245" t="s">
        <v>186</v>
      </c>
      <c r="AJ3" s="245"/>
      <c r="AK3" s="245"/>
      <c r="AL3" s="245" t="s">
        <v>188</v>
      </c>
      <c r="AM3" s="245"/>
      <c r="AN3" s="247"/>
      <c r="AO3" s="243" t="s">
        <v>190</v>
      </c>
      <c r="AP3" s="239" t="s">
        <v>189</v>
      </c>
      <c r="AR3" s="239" t="s">
        <v>191</v>
      </c>
      <c r="AS3" s="245" t="s">
        <v>186</v>
      </c>
      <c r="AT3" s="245"/>
      <c r="AU3" s="245"/>
      <c r="AV3" s="245" t="s">
        <v>188</v>
      </c>
      <c r="AW3" s="245"/>
      <c r="AX3" s="247"/>
      <c r="AY3" s="243" t="s">
        <v>190</v>
      </c>
      <c r="AZ3" s="239" t="s">
        <v>189</v>
      </c>
      <c r="BB3" s="241" t="s">
        <v>15</v>
      </c>
      <c r="BC3" s="243" t="s">
        <v>184</v>
      </c>
      <c r="BD3" s="243" t="s">
        <v>187</v>
      </c>
      <c r="BE3" s="243" t="s">
        <v>211</v>
      </c>
      <c r="BG3" s="239" t="s">
        <v>191</v>
      </c>
      <c r="BH3" s="237" t="s">
        <v>13</v>
      </c>
      <c r="BI3" s="238"/>
      <c r="BJ3" s="238"/>
      <c r="BK3" s="238"/>
    </row>
    <row r="4" spans="2:63" ht="33" customHeight="1" thickTop="1" thickBot="1" x14ac:dyDescent="0.3">
      <c r="B4" s="55" t="s">
        <v>174</v>
      </c>
      <c r="C4" s="56" t="s">
        <v>172</v>
      </c>
      <c r="D4" s="56" t="s">
        <v>173</v>
      </c>
      <c r="E4" s="57" t="s">
        <v>175</v>
      </c>
      <c r="G4" s="61" t="s">
        <v>68</v>
      </c>
      <c r="H4" s="68" t="s">
        <v>68</v>
      </c>
      <c r="I4" s="62" t="s">
        <v>176</v>
      </c>
      <c r="J4" s="62" t="s">
        <v>176</v>
      </c>
      <c r="K4" s="62" t="str">
        <f>IF(Eulercheck=1,"Allowable  Load","")</f>
        <v/>
      </c>
      <c r="L4" s="62" t="str">
        <f>IF(Eulercheck=2,"Allowable  Load","")</f>
        <v>Allowable  Load</v>
      </c>
      <c r="M4" s="63" t="s">
        <v>197</v>
      </c>
      <c r="O4" s="61" t="s">
        <v>177</v>
      </c>
      <c r="P4" s="62" t="s">
        <v>177</v>
      </c>
      <c r="Q4" s="62" t="str">
        <f>IF(Eulercheck2=1,"Applied stress","")</f>
        <v>Applied stress</v>
      </c>
      <c r="R4" s="80" t="s">
        <v>198</v>
      </c>
      <c r="S4" s="80" t="s">
        <v>198</v>
      </c>
      <c r="T4" s="62" t="s">
        <v>178</v>
      </c>
      <c r="U4" s="63" t="str">
        <f>IF(Eulercheck2=2,"Thermal Stress","")</f>
        <v/>
      </c>
      <c r="V4" s="63" t="s">
        <v>199</v>
      </c>
      <c r="X4" s="73" t="s">
        <v>174</v>
      </c>
      <c r="Y4" s="59" t="s">
        <v>179</v>
      </c>
      <c r="Z4" s="74" t="s">
        <v>200</v>
      </c>
      <c r="AA4" s="74" t="s">
        <v>224</v>
      </c>
      <c r="AC4" s="242"/>
      <c r="AD4" s="62" t="s">
        <v>182</v>
      </c>
      <c r="AE4" s="62" t="s">
        <v>183</v>
      </c>
      <c r="AF4" s="62" t="s">
        <v>184</v>
      </c>
      <c r="AG4" s="62" t="s">
        <v>180</v>
      </c>
      <c r="AH4" s="62" t="s">
        <v>181</v>
      </c>
      <c r="AI4" s="246"/>
      <c r="AJ4" s="246"/>
      <c r="AK4" s="246"/>
      <c r="AL4" s="246"/>
      <c r="AM4" s="246"/>
      <c r="AN4" s="248"/>
      <c r="AO4" s="244"/>
      <c r="AP4" s="240"/>
      <c r="AR4" s="240"/>
      <c r="AS4" s="246"/>
      <c r="AT4" s="246"/>
      <c r="AU4" s="246"/>
      <c r="AV4" s="246"/>
      <c r="AW4" s="246"/>
      <c r="AX4" s="248"/>
      <c r="AY4" s="244"/>
      <c r="AZ4" s="240"/>
      <c r="BB4" s="242"/>
      <c r="BC4" s="244"/>
      <c r="BD4" s="244"/>
      <c r="BE4" s="244"/>
      <c r="BG4" s="240"/>
      <c r="BH4" s="77" t="s">
        <v>213</v>
      </c>
      <c r="BI4" s="78" t="s">
        <v>214</v>
      </c>
      <c r="BJ4" s="78" t="s">
        <v>216</v>
      </c>
      <c r="BK4" s="78" t="s">
        <v>215</v>
      </c>
    </row>
    <row r="5" spans="2:63" ht="27.75" customHeight="1" thickBot="1" x14ac:dyDescent="0.3">
      <c r="B5" s="52">
        <v>0</v>
      </c>
      <c r="C5" s="66"/>
      <c r="D5" s="66"/>
      <c r="E5" s="66">
        <f t="shared" ref="E5:E26" si="0">10*Applied_External_Pressure</f>
        <v>0.31</v>
      </c>
      <c r="G5" s="64">
        <f t="shared" ref="G5:G26" si="1">IF(Eulercheck=1,H5,0)</f>
        <v>0</v>
      </c>
      <c r="H5" s="69">
        <v>100</v>
      </c>
      <c r="I5" s="65">
        <f t="shared" ref="I5:I26" si="2">IF(Eulercheck=2,J5,0)</f>
        <v>1</v>
      </c>
      <c r="J5" s="65">
        <v>1</v>
      </c>
      <c r="K5" s="65">
        <f t="shared" ref="K5:K26" si="3">((((3.14)^3 *G5^3* tr)/(8*L^2 )) *Ea*10^(-6))/1000</f>
        <v>0</v>
      </c>
      <c r="L5" s="65">
        <f t="shared" ref="L5:L26" si="4">((((3.14)^3 *D^3* tr)/(8*I5^2 )) *Ea*10^(-6))/1000</f>
        <v>2759.1540340465845</v>
      </c>
      <c r="M5" s="66">
        <f t="shared" ref="M5:M26" si="5">(Applied_Fa)/1000</f>
        <v>30</v>
      </c>
      <c r="O5" s="61">
        <v>10</v>
      </c>
      <c r="P5" s="66">
        <f t="shared" ref="P5:P26" si="6">IF(Eulercheck2=1,O5,0)</f>
        <v>10</v>
      </c>
      <c r="Q5" s="65">
        <f t="shared" ref="Q5:Q26" si="7">1000*P5/(3.14*D*tr )</f>
        <v>3.9774114846961139</v>
      </c>
      <c r="R5" s="62">
        <v>10</v>
      </c>
      <c r="S5" s="62">
        <f t="shared" ref="S5:S26" si="8">IF(Eulercheck2=2,R5,0)</f>
        <v>0</v>
      </c>
      <c r="T5" s="62">
        <f t="shared" ref="T5:T26" si="9">PipeCrossSection*Ea*alfa*S5/1000</f>
        <v>0</v>
      </c>
      <c r="U5" s="66">
        <f t="shared" ref="U5:U26" si="10">1000*T5/(3.14*D*tr )</f>
        <v>0</v>
      </c>
      <c r="V5" s="66">
        <f t="shared" ref="V5:V26" si="11">Allowable_Euler_buckling_stress</f>
        <v>22.863106131380203</v>
      </c>
      <c r="X5" s="61"/>
      <c r="Y5" s="62"/>
      <c r="Z5" s="63"/>
      <c r="AA5" s="63"/>
      <c r="AC5" s="34">
        <v>120</v>
      </c>
      <c r="AD5" s="72">
        <v>0.107</v>
      </c>
      <c r="AE5" s="72">
        <v>0.192</v>
      </c>
      <c r="AF5" s="72">
        <v>1.171</v>
      </c>
      <c r="AG5" s="72">
        <v>0.75</v>
      </c>
      <c r="AH5" s="66">
        <v>5.28E-2</v>
      </c>
      <c r="AI5" s="62">
        <f>-AG5 *(9.81*SUPH* ρ_o)/(tr* (widthsaddle+10*tr))</f>
        <v>-2.0831209045232142</v>
      </c>
      <c r="AJ5" s="62">
        <f>((9.81*SUPH*ρ_o)/(4*tr*(widthsaddle+10*tr))+(3/2)*AH5*((9.81*SUPH*ρ_o)/(tr^2)))</f>
        <v>21.225613269821867</v>
      </c>
      <c r="AK5" s="66">
        <f>MAX(AI5,AJ5)+Shoop</f>
        <v>61.26061326982186</v>
      </c>
      <c r="AL5" s="62">
        <f>(0.125/(tr/1000))*((2*P*(D/1000))+((9.81*ρ_L*(Di/1000)^2)+((9.81*ρ_L)/AD5)*(SUPA^2-0.5*(Di/1000)^2))*10^(-6))</f>
        <v>69.422146974701988</v>
      </c>
      <c r="AM5" s="62">
        <f>(0.125/(tr/1000))*((2*P*(D/1000))+((9.81*ρ_L*(Di/1000)^2)-((9.81*ρ_L)/AE5)*(SUPA^2-0.5*(Di/1000)^2))*10^(-6))</f>
        <v>-7.4713024887992221</v>
      </c>
      <c r="AN5" s="66">
        <f>MAX(AM5,AL5)</f>
        <v>69.422146974701988</v>
      </c>
      <c r="AO5" s="66">
        <f>Allowable_local_hoop</f>
        <v>92.628</v>
      </c>
      <c r="AP5" s="66">
        <f>Alowable_local_axial</f>
        <v>44.484469105372717</v>
      </c>
      <c r="AR5" s="62">
        <v>1</v>
      </c>
      <c r="AS5" s="62">
        <f t="shared" ref="AS5:AS11" si="12">((9.81*AR5*ρ_o)/(4*tr*(widthsaddle+10*tr))+(3/2)*sadk5*((9.81*SUPH*ρ_o)/(tr^2)))</f>
        <v>12.538999097960069</v>
      </c>
      <c r="AT5" s="62">
        <f t="shared" ref="AT5:AT11" si="13">-sadk4 *(9.81*AR5* ρ_o)/(tr* (widthsaddle+10*tr))</f>
        <v>-0.4673134562480411</v>
      </c>
      <c r="AU5" s="66">
        <f t="shared" ref="AU5:AU11" si="14">MAX(AS5,AT5)+Shoop</f>
        <v>52.573999097960069</v>
      </c>
      <c r="AV5" s="62">
        <f t="shared" ref="AV5:AV11" si="15">(0.125/(tr/1000))*((2*P*(D/1000))+((9.81*ρ_L*(Di/1000)^2)+((9.81*ρ_L)/sadk1)*(AR5^2-0.5*(Di/1000)^2))*10^(-6))</f>
        <v>21.839498303979543</v>
      </c>
      <c r="AW5" s="62">
        <f t="shared" ref="AW5:AW11" si="16">(0.125/(tr/1000))*((2*P*(D/1000))+((9.81*ρ_L*(Di/1000)^2)-((9.81*ρ_L)/sadk2)*(AR5^2-0.5*(Di/1000)^2))*10^(-6))</f>
        <v>19.007266243886839</v>
      </c>
      <c r="AX5" s="66">
        <f>MAX(AW5,AV5)</f>
        <v>21.839498303979543</v>
      </c>
      <c r="AY5" s="62">
        <f t="shared" ref="AY5:AY11" si="17">Allowable_local_hoop</f>
        <v>92.628</v>
      </c>
      <c r="AZ5" s="66">
        <f t="shared" ref="AZ5:AZ11" si="18">Alowable_local_axial</f>
        <v>44.484469105372717</v>
      </c>
      <c r="BB5" s="34">
        <v>120</v>
      </c>
      <c r="BC5" s="72">
        <v>1.171</v>
      </c>
      <c r="BD5" s="66">
        <f>BC5*ρ_eff*(9.81)*(3.14*D/(4*tr))*10^(-6)*SUPS</f>
        <v>7.9125790144132164</v>
      </c>
      <c r="BE5" s="66">
        <f>Allowable_Shear_Stress</f>
        <v>10</v>
      </c>
      <c r="BG5" s="66">
        <v>1</v>
      </c>
      <c r="BH5" s="66">
        <f t="shared" ref="BH5:BH11" si="19">(5*9.81*ρ_o*BG5^4*10^(-3))/(384*Ea* Ip)</f>
        <v>2.3389231431203868E-2</v>
      </c>
      <c r="BI5" s="66">
        <f t="shared" ref="BI5:BI11" si="20">(5*9.81*ρ_o*BG5^4*10^(-3))/(925*Ea* Ip)</f>
        <v>9.7096917508997689E-3</v>
      </c>
      <c r="BJ5" s="66">
        <f t="shared" ref="BJ5:BJ11" si="21">(5*9.81*ρ_o*BG5^4*10^(-3))/(1920*Ea* Ip)</f>
        <v>4.6778462862407744E-3</v>
      </c>
      <c r="BK5" s="66">
        <v>12.5</v>
      </c>
    </row>
    <row r="6" spans="2:63" ht="15.75" thickBot="1" x14ac:dyDescent="0.3">
      <c r="B6" s="53">
        <v>95</v>
      </c>
      <c r="C6" s="66">
        <f t="shared" ref="C6:C26" si="22">2*(10/1.5)*Eh* (1/B6 )^3</f>
        <v>0.39189386207902022</v>
      </c>
      <c r="D6" s="66">
        <f t="shared" ref="D6:D26" si="23">2*(10/3)*Eh* (1/B6 )^3</f>
        <v>0.19594693103951011</v>
      </c>
      <c r="E6" s="66">
        <f t="shared" si="0"/>
        <v>0.31</v>
      </c>
      <c r="G6" s="64">
        <f t="shared" si="1"/>
        <v>0</v>
      </c>
      <c r="H6" s="69">
        <f>H5+30</f>
        <v>130</v>
      </c>
      <c r="I6" s="65">
        <f t="shared" si="2"/>
        <v>1.4</v>
      </c>
      <c r="J6" s="65">
        <f>J5+0.4</f>
        <v>1.4</v>
      </c>
      <c r="K6" s="65">
        <f t="shared" si="3"/>
        <v>0</v>
      </c>
      <c r="L6" s="65">
        <f t="shared" si="4"/>
        <v>1407.7316500237678</v>
      </c>
      <c r="M6" s="66">
        <f t="shared" si="5"/>
        <v>30</v>
      </c>
      <c r="O6" s="61">
        <f>O5+5</f>
        <v>15</v>
      </c>
      <c r="P6" s="66">
        <f t="shared" si="6"/>
        <v>15</v>
      </c>
      <c r="Q6" s="65">
        <f t="shared" si="7"/>
        <v>5.9661172270441707</v>
      </c>
      <c r="R6" s="62">
        <f>R5+5</f>
        <v>15</v>
      </c>
      <c r="S6" s="62">
        <f t="shared" si="8"/>
        <v>0</v>
      </c>
      <c r="T6" s="62">
        <f t="shared" si="9"/>
        <v>0</v>
      </c>
      <c r="U6" s="66">
        <f t="shared" si="10"/>
        <v>0</v>
      </c>
      <c r="V6" s="66">
        <f t="shared" si="11"/>
        <v>22.863106131380203</v>
      </c>
      <c r="X6" s="75">
        <v>95</v>
      </c>
      <c r="Y6" s="62">
        <f>0.1887+0.8113*(0.83/(0.1+0.005*(X6))^0.5)</f>
        <v>1.0767259275895631</v>
      </c>
      <c r="Z6" s="66">
        <f>0.9*Y6*((Ea*Eh)^0.5)/X6</f>
        <v>181.04200556641948</v>
      </c>
      <c r="AA6" s="66">
        <f t="shared" ref="AA6:AA26" si="24">Shell_Buckling_stress</f>
        <v>13.500000000000002</v>
      </c>
      <c r="AC6" s="34">
        <v>135</v>
      </c>
      <c r="AD6" s="72">
        <v>0.13200000000000001</v>
      </c>
      <c r="AE6" s="72">
        <v>0.23400000000000001</v>
      </c>
      <c r="AF6" s="72">
        <v>0.95799999999999996</v>
      </c>
      <c r="AG6" s="72">
        <v>0.71099999999999997</v>
      </c>
      <c r="AH6" s="66">
        <v>4.1300000000000003E-2</v>
      </c>
      <c r="AI6" s="62">
        <f>-AG6 *(9.81*SUPH* ρ_o)/(tr* (widthsaddle+10*tr))</f>
        <v>-1.9747986174880068</v>
      </c>
      <c r="AJ6" s="62">
        <f>((9.81*SUPH*ρ_o)/(4*tr*(widthsaddle+10*tr))+(3/2)*AH6*((9.81*SUPH*ρ_o)/(tr^2)))</f>
        <v>16.75384706144537</v>
      </c>
      <c r="AK6" s="66">
        <f>MAX(AI6,AJ6)+Shoop</f>
        <v>56.788847061445367</v>
      </c>
      <c r="AL6" s="62">
        <f>(0.125/(tr/1000))*((2*P*(D/1000))+((9.81*ρ_L*(Di/1000)^2)+((9.81*ρ_L)/AD6)*(SUPA^2-0.5*(Di/1000)^2))*10^(-6))</f>
        <v>60.07055689096817</v>
      </c>
      <c r="AM6" s="62">
        <f>(0.125/(tr/1000))*((2*P*(D/1000))+((9.81*ρ_L*(Di/1000)^2)-((9.81*ρ_L)/AE6)*(SUPA^2-0.5*(Di/1000)^2))*10^(-6))</f>
        <v>-2.5323441106016076</v>
      </c>
      <c r="AN6" s="66">
        <f t="shared" ref="AN6:AN9" si="25">MAX(AM6,AL6)</f>
        <v>60.07055689096817</v>
      </c>
      <c r="AO6" s="66">
        <f>Allowable_local_hoop</f>
        <v>92.628</v>
      </c>
      <c r="AP6" s="66">
        <f>Alowable_local_axial</f>
        <v>44.484469105372717</v>
      </c>
      <c r="AR6" s="62">
        <v>2</v>
      </c>
      <c r="AS6" s="62">
        <f t="shared" si="12"/>
        <v>12.712592506670337</v>
      </c>
      <c r="AT6" s="62">
        <f t="shared" si="13"/>
        <v>-0.93462691249608221</v>
      </c>
      <c r="AU6" s="66">
        <f t="shared" si="14"/>
        <v>52.74759250667033</v>
      </c>
      <c r="AV6" s="62">
        <f t="shared" si="15"/>
        <v>27.413361940343179</v>
      </c>
      <c r="AW6" s="62">
        <f t="shared" si="16"/>
        <v>15.780292559676315</v>
      </c>
      <c r="AX6" s="66">
        <f t="shared" ref="AX6:AX11" si="26">MAX(AW6,AV6)</f>
        <v>27.413361940343179</v>
      </c>
      <c r="AY6" s="62">
        <f t="shared" si="17"/>
        <v>92.628</v>
      </c>
      <c r="AZ6" s="66">
        <f t="shared" si="18"/>
        <v>44.484469105372717</v>
      </c>
      <c r="BB6" s="34">
        <v>135</v>
      </c>
      <c r="BC6" s="72">
        <v>0.95799999999999996</v>
      </c>
      <c r="BD6" s="66">
        <f>BC6*ρ_eff*(9.81)*(3.14*D/(4*tr))*10^(-6)*SUPS</f>
        <v>6.4733140015438595</v>
      </c>
      <c r="BE6" s="66">
        <f>Allowable_Shear_Stress</f>
        <v>10</v>
      </c>
      <c r="BG6" s="66">
        <f>BG5+2</f>
        <v>3</v>
      </c>
      <c r="BH6" s="66">
        <f t="shared" si="19"/>
        <v>1.8945277459275136</v>
      </c>
      <c r="BI6" s="66">
        <f t="shared" si="20"/>
        <v>0.78648503182288132</v>
      </c>
      <c r="BJ6" s="66">
        <f t="shared" si="21"/>
        <v>0.37890554918550273</v>
      </c>
      <c r="BK6" s="66">
        <v>12.5</v>
      </c>
    </row>
    <row r="7" spans="2:63" ht="15.75" thickBot="1" x14ac:dyDescent="0.3">
      <c r="B7" s="53">
        <f>B6+10</f>
        <v>105</v>
      </c>
      <c r="C7" s="66">
        <f t="shared" si="22"/>
        <v>0.29024943310657603</v>
      </c>
      <c r="D7" s="66">
        <f t="shared" si="23"/>
        <v>0.14512471655328801</v>
      </c>
      <c r="E7" s="66">
        <f t="shared" si="0"/>
        <v>0.31</v>
      </c>
      <c r="G7" s="64">
        <f t="shared" si="1"/>
        <v>0</v>
      </c>
      <c r="H7" s="69">
        <f t="shared" ref="H7:H26" si="27">H6+30</f>
        <v>160</v>
      </c>
      <c r="I7" s="65">
        <f t="shared" si="2"/>
        <v>1.7999999999999998</v>
      </c>
      <c r="J7" s="65">
        <f t="shared" ref="J7:J26" si="28">J6+0.4</f>
        <v>1.7999999999999998</v>
      </c>
      <c r="K7" s="65">
        <f t="shared" si="3"/>
        <v>0</v>
      </c>
      <c r="L7" s="65">
        <f t="shared" si="4"/>
        <v>851.59075124894605</v>
      </c>
      <c r="M7" s="66">
        <f t="shared" si="5"/>
        <v>30</v>
      </c>
      <c r="O7" s="61">
        <f t="shared" ref="O7:O26" si="29">O6+5</f>
        <v>20</v>
      </c>
      <c r="P7" s="66">
        <f t="shared" si="6"/>
        <v>20</v>
      </c>
      <c r="Q7" s="65">
        <f t="shared" si="7"/>
        <v>7.9548229693922279</v>
      </c>
      <c r="R7" s="62">
        <f t="shared" ref="R7:R26" si="30">R6+5</f>
        <v>20</v>
      </c>
      <c r="S7" s="62">
        <f t="shared" si="8"/>
        <v>0</v>
      </c>
      <c r="T7" s="62">
        <f t="shared" si="9"/>
        <v>0</v>
      </c>
      <c r="U7" s="66">
        <f t="shared" si="10"/>
        <v>0</v>
      </c>
      <c r="V7" s="66">
        <f t="shared" si="11"/>
        <v>22.863106131380203</v>
      </c>
      <c r="X7" s="75">
        <f>X6+10</f>
        <v>105</v>
      </c>
      <c r="Y7" s="62">
        <f t="shared" ref="Y7:Y26" si="31">0.1887+0.8113*(0.83/(0.1+0.005*(X7))^0.5)</f>
        <v>1.0404645474106091</v>
      </c>
      <c r="Z7" s="66">
        <f t="shared" ref="Z7:Z26" si="32">(0.9*Y7*((Ea*Eh)^0.5)/X7)</f>
        <v>158.28354704488621</v>
      </c>
      <c r="AA7" s="66">
        <f t="shared" si="24"/>
        <v>13.500000000000002</v>
      </c>
      <c r="AC7" s="34">
        <v>150</v>
      </c>
      <c r="AD7" s="72">
        <v>0.161</v>
      </c>
      <c r="AE7" s="72">
        <v>0.27900000000000003</v>
      </c>
      <c r="AF7" s="72">
        <v>0.79900000000000004</v>
      </c>
      <c r="AG7" s="72">
        <v>0.67300000000000004</v>
      </c>
      <c r="AH7" s="66">
        <v>3.1800000000000002E-2</v>
      </c>
      <c r="AI7" s="62">
        <f>-AG7 *(9.81*SUPH* ρ_o)/(tr* (widthsaddle+10*tr))</f>
        <v>-1.8692538249921644</v>
      </c>
      <c r="AJ7" s="62">
        <f>((9.81*SUPH*ρ_o)/(4*tr*(widthsaddle+10*tr))+(3/2)*AH7*((9.81*SUPH*ρ_o)/(tr^2)))</f>
        <v>13.059779324090872</v>
      </c>
      <c r="AK7" s="66">
        <f>MAX(AI7,AJ7)+Shoop</f>
        <v>53.094779324090865</v>
      </c>
      <c r="AL7" s="62">
        <f>(0.125/(tr/1000))*((2*P*(D/1000))+((9.81*ρ_L*(Di/1000)^2)+((9.81*ρ_L)/AD7)*(SUPA^2-0.5*(Di/1000)^2))*10^(-6))</f>
        <v>52.861119864924454</v>
      </c>
      <c r="AM7" s="62">
        <f>(0.125/(tr/1000))*((2*P*(D/1000))+((9.81*ρ_L*(Di/1000)^2)-((9.81*ρ_L)/AE7)*(SUPA^2-0.5*(Di/1000)^2))*10^(-6))</f>
        <v>1.1092841866869596</v>
      </c>
      <c r="AN7" s="66">
        <f t="shared" si="25"/>
        <v>52.861119864924454</v>
      </c>
      <c r="AO7" s="66">
        <f>Allowable_local_hoop</f>
        <v>92.628</v>
      </c>
      <c r="AP7" s="66">
        <f>Alowable_local_axial</f>
        <v>44.484469105372717</v>
      </c>
      <c r="AR7" s="62">
        <v>3</v>
      </c>
      <c r="AS7" s="62">
        <f t="shared" si="12"/>
        <v>12.886185915380604</v>
      </c>
      <c r="AT7" s="62">
        <f t="shared" si="13"/>
        <v>-1.401940368744123</v>
      </c>
      <c r="AU7" s="66">
        <f t="shared" si="14"/>
        <v>52.921185915380605</v>
      </c>
      <c r="AV7" s="62">
        <f t="shared" si="15"/>
        <v>36.703134667615906</v>
      </c>
      <c r="AW7" s="62">
        <f t="shared" si="16"/>
        <v>10.402003085992103</v>
      </c>
      <c r="AX7" s="66">
        <f t="shared" si="26"/>
        <v>36.703134667615906</v>
      </c>
      <c r="AY7" s="62">
        <f t="shared" si="17"/>
        <v>92.628</v>
      </c>
      <c r="AZ7" s="66">
        <f t="shared" si="18"/>
        <v>44.484469105372717</v>
      </c>
      <c r="BB7" s="34">
        <v>150</v>
      </c>
      <c r="BC7" s="72">
        <v>0.79900000000000004</v>
      </c>
      <c r="BD7" s="66">
        <f>BC7*ρ_eff*(9.81)*(3.14*D/(4*tr))*10^(-6)*SUPS</f>
        <v>5.3989330764442025</v>
      </c>
      <c r="BE7" s="66">
        <f>Allowable_Shear_Stress</f>
        <v>10</v>
      </c>
      <c r="BG7" s="66">
        <v>3</v>
      </c>
      <c r="BH7" s="66">
        <f t="shared" si="19"/>
        <v>1.8945277459275136</v>
      </c>
      <c r="BI7" s="66">
        <f t="shared" si="20"/>
        <v>0.78648503182288132</v>
      </c>
      <c r="BJ7" s="66">
        <f t="shared" si="21"/>
        <v>0.37890554918550273</v>
      </c>
      <c r="BK7" s="66">
        <v>12.5</v>
      </c>
    </row>
    <row r="8" spans="2:63" ht="15.75" thickBot="1" x14ac:dyDescent="0.3">
      <c r="B8" s="53">
        <f t="shared" ref="B8:B26" si="33">B7+10</f>
        <v>115</v>
      </c>
      <c r="C8" s="66">
        <f t="shared" si="22"/>
        <v>0.22092545409714806</v>
      </c>
      <c r="D8" s="66">
        <f t="shared" si="23"/>
        <v>0.11046272704857403</v>
      </c>
      <c r="E8" s="66">
        <f t="shared" si="0"/>
        <v>0.31</v>
      </c>
      <c r="G8" s="64">
        <f t="shared" si="1"/>
        <v>0</v>
      </c>
      <c r="H8" s="69">
        <f t="shared" si="27"/>
        <v>190</v>
      </c>
      <c r="I8" s="65">
        <f t="shared" si="2"/>
        <v>2.1999999999999997</v>
      </c>
      <c r="J8" s="65">
        <f t="shared" si="28"/>
        <v>2.1999999999999997</v>
      </c>
      <c r="K8" s="65">
        <f t="shared" si="3"/>
        <v>0</v>
      </c>
      <c r="L8" s="65">
        <f t="shared" si="4"/>
        <v>570.07314753028606</v>
      </c>
      <c r="M8" s="66">
        <f t="shared" si="5"/>
        <v>30</v>
      </c>
      <c r="O8" s="61">
        <f t="shared" si="29"/>
        <v>25</v>
      </c>
      <c r="P8" s="66">
        <f t="shared" si="6"/>
        <v>25</v>
      </c>
      <c r="Q8" s="65">
        <f t="shared" si="7"/>
        <v>9.9435287117402851</v>
      </c>
      <c r="R8" s="62">
        <f t="shared" si="30"/>
        <v>25</v>
      </c>
      <c r="S8" s="62">
        <f t="shared" si="8"/>
        <v>0</v>
      </c>
      <c r="T8" s="62">
        <f t="shared" si="9"/>
        <v>0</v>
      </c>
      <c r="U8" s="66">
        <f t="shared" si="10"/>
        <v>0</v>
      </c>
      <c r="V8" s="66">
        <f t="shared" si="11"/>
        <v>22.863106131380203</v>
      </c>
      <c r="X8" s="75">
        <f t="shared" ref="X8:X26" si="34">X7+10</f>
        <v>115</v>
      </c>
      <c r="Y8" s="62">
        <f t="shared" si="31"/>
        <v>1.0083108178894917</v>
      </c>
      <c r="Z8" s="66">
        <f t="shared" si="32"/>
        <v>140.05363096479115</v>
      </c>
      <c r="AA8" s="66">
        <f t="shared" si="24"/>
        <v>13.500000000000002</v>
      </c>
      <c r="AC8" s="34">
        <v>165</v>
      </c>
      <c r="AD8" s="72">
        <v>0.193</v>
      </c>
      <c r="AE8" s="72">
        <v>0.32800000000000001</v>
      </c>
      <c r="AF8" s="72">
        <v>0.67500000000000004</v>
      </c>
      <c r="AG8" s="72">
        <v>0.64500000000000002</v>
      </c>
      <c r="AH8" s="66">
        <v>2.3800000000000002E-2</v>
      </c>
      <c r="AI8" s="62">
        <f>-AG8 *(9.81*SUPH* ρ_o)/(tr* (widthsaddle+10*tr))</f>
        <v>-1.7914839778899643</v>
      </c>
      <c r="AJ8" s="62">
        <f>((9.81*SUPH*ρ_o)/(4*tr*(widthsaddle+10*tr))+(3/2)*AH8*((9.81*SUPH*ρ_o)/(tr^2)))</f>
        <v>9.9489854400028701</v>
      </c>
      <c r="AK8" s="66">
        <f>MAX(AI8,AJ8)+Shoop</f>
        <v>49.983985440002868</v>
      </c>
      <c r="AL8" s="62">
        <f>(0.125/(tr/1000))*((2*P*(D/1000))+((9.81*ρ_L*(Di/1000)^2)+((9.81*ρ_L)/AD8)*(SUPA^2-0.5*(Di/1000)^2))*10^(-6))</f>
        <v>47.420229745573245</v>
      </c>
      <c r="AM8" s="62">
        <f>(0.125/(tr/1000))*((2*P*(D/1000))+((9.81*ρ_L*(Di/1000)^2)-((9.81*ρ_L)/AE8)*(SUPA^2-0.5*(Di/1000)^2))*10^(-6))</f>
        <v>3.9382076322635666</v>
      </c>
      <c r="AN8" s="66">
        <f t="shared" si="25"/>
        <v>47.420229745573245</v>
      </c>
      <c r="AO8" s="66">
        <f>Allowable_local_hoop</f>
        <v>92.628</v>
      </c>
      <c r="AP8" s="66">
        <f>Alowable_local_axial</f>
        <v>44.484469105372717</v>
      </c>
      <c r="AR8" s="62">
        <v>4</v>
      </c>
      <c r="AS8" s="62">
        <f t="shared" si="12"/>
        <v>13.059779324090872</v>
      </c>
      <c r="AT8" s="62">
        <f t="shared" si="13"/>
        <v>-1.8692538249921644</v>
      </c>
      <c r="AU8" s="66">
        <f t="shared" si="14"/>
        <v>53.094779324090865</v>
      </c>
      <c r="AV8" s="62">
        <f t="shared" si="15"/>
        <v>49.708816485797719</v>
      </c>
      <c r="AW8" s="62">
        <f t="shared" si="16"/>
        <v>2.8723978228342091</v>
      </c>
      <c r="AX8" s="66">
        <f t="shared" si="26"/>
        <v>49.708816485797719</v>
      </c>
      <c r="AY8" s="62">
        <f t="shared" si="17"/>
        <v>92.628</v>
      </c>
      <c r="AZ8" s="66">
        <f t="shared" si="18"/>
        <v>44.484469105372717</v>
      </c>
      <c r="BB8" s="34">
        <v>165</v>
      </c>
      <c r="BC8" s="72">
        <v>0.67500000000000004</v>
      </c>
      <c r="BD8" s="66">
        <f>BC8*ρ_eff*(9.81)*(3.14*D/(4*tr))*10^(-6)*SUPS</f>
        <v>4.5610510971211964</v>
      </c>
      <c r="BE8" s="66">
        <f>Allowable_Shear_Stress</f>
        <v>10</v>
      </c>
      <c r="BG8" s="66">
        <v>4</v>
      </c>
      <c r="BH8" s="66">
        <f t="shared" si="19"/>
        <v>5.9876432463881901</v>
      </c>
      <c r="BI8" s="66">
        <f t="shared" si="20"/>
        <v>2.4856810882303408</v>
      </c>
      <c r="BJ8" s="66">
        <f t="shared" si="21"/>
        <v>1.1975286492776382</v>
      </c>
      <c r="BK8" s="66">
        <v>12.5</v>
      </c>
    </row>
    <row r="9" spans="2:63" ht="15.75" thickBot="1" x14ac:dyDescent="0.3">
      <c r="B9" s="53">
        <f t="shared" si="33"/>
        <v>125</v>
      </c>
      <c r="C9" s="66">
        <f t="shared" si="22"/>
        <v>0.17203200000000002</v>
      </c>
      <c r="D9" s="66">
        <f t="shared" si="23"/>
        <v>8.6016000000000009E-2</v>
      </c>
      <c r="E9" s="66">
        <f t="shared" si="0"/>
        <v>0.31</v>
      </c>
      <c r="G9" s="64">
        <f t="shared" si="1"/>
        <v>0</v>
      </c>
      <c r="H9" s="69">
        <f t="shared" si="27"/>
        <v>220</v>
      </c>
      <c r="I9" s="65">
        <f t="shared" si="2"/>
        <v>2.5999999999999996</v>
      </c>
      <c r="J9" s="65">
        <f t="shared" si="28"/>
        <v>2.5999999999999996</v>
      </c>
      <c r="K9" s="65">
        <f t="shared" si="3"/>
        <v>0</v>
      </c>
      <c r="L9" s="65">
        <f t="shared" si="4"/>
        <v>408.15888077612203</v>
      </c>
      <c r="M9" s="66">
        <f t="shared" si="5"/>
        <v>30</v>
      </c>
      <c r="O9" s="61">
        <f t="shared" si="29"/>
        <v>30</v>
      </c>
      <c r="P9" s="66">
        <f t="shared" si="6"/>
        <v>30</v>
      </c>
      <c r="Q9" s="65">
        <f t="shared" si="7"/>
        <v>11.932234454088341</v>
      </c>
      <c r="R9" s="62">
        <f t="shared" si="30"/>
        <v>30</v>
      </c>
      <c r="S9" s="62">
        <f t="shared" si="8"/>
        <v>0</v>
      </c>
      <c r="T9" s="62">
        <f t="shared" si="9"/>
        <v>0</v>
      </c>
      <c r="U9" s="66">
        <f t="shared" si="10"/>
        <v>0</v>
      </c>
      <c r="V9" s="66">
        <f t="shared" si="11"/>
        <v>22.863106131380203</v>
      </c>
      <c r="X9" s="75">
        <f t="shared" si="34"/>
        <v>125</v>
      </c>
      <c r="Y9" s="62">
        <f t="shared" si="31"/>
        <v>0.97954352839318304</v>
      </c>
      <c r="Z9" s="66">
        <f t="shared" si="32"/>
        <v>125.17324556384827</v>
      </c>
      <c r="AA9" s="66">
        <f t="shared" si="24"/>
        <v>13.500000000000002</v>
      </c>
      <c r="AC9" s="35">
        <v>180</v>
      </c>
      <c r="AD9" s="36">
        <v>0.22</v>
      </c>
      <c r="AE9" s="36">
        <v>0.38</v>
      </c>
      <c r="AF9" s="36">
        <v>0.57699999999999996</v>
      </c>
      <c r="AG9" s="36">
        <v>0.624</v>
      </c>
      <c r="AH9" s="66">
        <v>1.7399999999999999E-2</v>
      </c>
      <c r="AI9" s="71">
        <f>-AG9 *(9.81*SUPH* ρ_o)/(tr* (widthsaddle+10*tr))</f>
        <v>-1.7331565925633141</v>
      </c>
      <c r="AJ9" s="71">
        <f>((9.81*SUPH*ρ_o)/(4*tr*(widthsaddle+10*tr))+(3/2)*AH9*((9.81*SUPH*ρ_o)/(tr^2)))</f>
        <v>7.4603503327324709</v>
      </c>
      <c r="AK9" s="66">
        <f>MAX(AI9,AJ9)+Shoop</f>
        <v>47.495350332732471</v>
      </c>
      <c r="AL9" s="71">
        <f>(0.125/(tr/1000))*((2*P*(D/1000))+((9.81*ρ_L*(Di/1000)^2)+((9.81*ρ_L)/AD9)*(SUPA^2-0.5*(Di/1000)^2))*10^(-6))</f>
        <v>44.060634667615908</v>
      </c>
      <c r="AM9" s="71">
        <f>(0.125/(tr/1000))*((2*P*(D/1000))+((9.81*ρ_L*(Di/1000)^2)-((9.81*ρ_L)/AE9)*(SUPA^2-0.5*(Di/1000)^2))*10^(-6))</f>
        <v>6.1423978228342087</v>
      </c>
      <c r="AN9" s="66">
        <f t="shared" si="25"/>
        <v>44.060634667615908</v>
      </c>
      <c r="AO9" s="66">
        <f>Allowable_local_hoop</f>
        <v>92.628</v>
      </c>
      <c r="AP9" s="66">
        <f>Alowable_local_axial</f>
        <v>44.484469105372717</v>
      </c>
      <c r="AR9" s="62">
        <v>5</v>
      </c>
      <c r="AS9" s="62">
        <f t="shared" si="12"/>
        <v>13.23337273280114</v>
      </c>
      <c r="AT9" s="62">
        <f t="shared" si="13"/>
        <v>-2.336567281240205</v>
      </c>
      <c r="AU9" s="66">
        <f t="shared" si="14"/>
        <v>53.26837273280114</v>
      </c>
      <c r="AV9" s="62">
        <f t="shared" si="15"/>
        <v>66.430407394888618</v>
      </c>
      <c r="AW9" s="62">
        <f t="shared" si="16"/>
        <v>-6.8085232297973723</v>
      </c>
      <c r="AX9" s="66">
        <f t="shared" si="26"/>
        <v>66.430407394888618</v>
      </c>
      <c r="AY9" s="62">
        <f t="shared" si="17"/>
        <v>92.628</v>
      </c>
      <c r="AZ9" s="66">
        <f t="shared" si="18"/>
        <v>44.484469105372717</v>
      </c>
      <c r="BB9" s="35">
        <v>180</v>
      </c>
      <c r="BC9" s="36">
        <v>0.57699999999999996</v>
      </c>
      <c r="BD9" s="66">
        <f>BC9*ρ_eff*(9.81)*(3.14*D/(4*tr))*10^(-6)*SUPS</f>
        <v>3.8988540489465633</v>
      </c>
      <c r="BE9" s="66">
        <f>Allowable_Shear_Stress</f>
        <v>10</v>
      </c>
      <c r="BG9" s="66">
        <v>5</v>
      </c>
      <c r="BH9" s="66">
        <f t="shared" si="19"/>
        <v>14.618269644502419</v>
      </c>
      <c r="BI9" s="66">
        <f t="shared" si="20"/>
        <v>6.0685573443123557</v>
      </c>
      <c r="BJ9" s="66">
        <f t="shared" si="21"/>
        <v>2.9236539289004839</v>
      </c>
      <c r="BK9" s="66">
        <v>12.5</v>
      </c>
    </row>
    <row r="10" spans="2:63" ht="15.75" thickBot="1" x14ac:dyDescent="0.3">
      <c r="B10" s="53">
        <f t="shared" si="33"/>
        <v>135</v>
      </c>
      <c r="C10" s="66">
        <f t="shared" si="22"/>
        <v>0.13656454808718185</v>
      </c>
      <c r="D10" s="66">
        <f t="shared" si="23"/>
        <v>6.8282274043590926E-2</v>
      </c>
      <c r="E10" s="66">
        <f t="shared" si="0"/>
        <v>0.31</v>
      </c>
      <c r="G10" s="64">
        <f t="shared" si="1"/>
        <v>0</v>
      </c>
      <c r="H10" s="69">
        <f t="shared" si="27"/>
        <v>250</v>
      </c>
      <c r="I10" s="65">
        <f t="shared" si="2"/>
        <v>2.9999999999999996</v>
      </c>
      <c r="J10" s="65">
        <f t="shared" si="28"/>
        <v>2.9999999999999996</v>
      </c>
      <c r="K10" s="65">
        <f t="shared" si="3"/>
        <v>0</v>
      </c>
      <c r="L10" s="65">
        <f t="shared" si="4"/>
        <v>306.5726704496206</v>
      </c>
      <c r="M10" s="66">
        <f t="shared" si="5"/>
        <v>30</v>
      </c>
      <c r="O10" s="61">
        <f t="shared" si="29"/>
        <v>35</v>
      </c>
      <c r="P10" s="66">
        <f t="shared" si="6"/>
        <v>35</v>
      </c>
      <c r="Q10" s="65">
        <f t="shared" si="7"/>
        <v>13.920940196436399</v>
      </c>
      <c r="R10" s="62">
        <f t="shared" si="30"/>
        <v>35</v>
      </c>
      <c r="S10" s="62">
        <f t="shared" si="8"/>
        <v>0</v>
      </c>
      <c r="T10" s="62">
        <f t="shared" si="9"/>
        <v>0</v>
      </c>
      <c r="U10" s="66">
        <f t="shared" si="10"/>
        <v>0</v>
      </c>
      <c r="V10" s="66">
        <f t="shared" si="11"/>
        <v>22.863106131380203</v>
      </c>
      <c r="X10" s="75">
        <f t="shared" si="34"/>
        <v>135</v>
      </c>
      <c r="Y10" s="62">
        <f t="shared" si="31"/>
        <v>0.95360714396690849</v>
      </c>
      <c r="Z10" s="66">
        <f t="shared" si="32"/>
        <v>112.83231890883987</v>
      </c>
      <c r="AA10" s="66">
        <f t="shared" si="24"/>
        <v>13.500000000000002</v>
      </c>
      <c r="AR10" s="62">
        <v>6</v>
      </c>
      <c r="AS10" s="62">
        <f t="shared" si="12"/>
        <v>13.406966141511408</v>
      </c>
      <c r="AT10" s="62">
        <f t="shared" si="13"/>
        <v>-2.803880737488246</v>
      </c>
      <c r="AU10" s="66">
        <f t="shared" si="14"/>
        <v>53.441966141511401</v>
      </c>
      <c r="AV10" s="62">
        <f t="shared" si="15"/>
        <v>86.867907394888618</v>
      </c>
      <c r="AW10" s="62">
        <f t="shared" si="16"/>
        <v>-18.640760071902626</v>
      </c>
      <c r="AX10" s="66">
        <f t="shared" si="26"/>
        <v>86.867907394888618</v>
      </c>
      <c r="AY10" s="62">
        <f t="shared" si="17"/>
        <v>92.628</v>
      </c>
      <c r="AZ10" s="66">
        <f t="shared" si="18"/>
        <v>44.484469105372717</v>
      </c>
      <c r="BG10" s="66">
        <v>6</v>
      </c>
      <c r="BH10" s="66">
        <f t="shared" si="19"/>
        <v>30.312443934840218</v>
      </c>
      <c r="BI10" s="66">
        <f t="shared" si="20"/>
        <v>12.583760509166101</v>
      </c>
      <c r="BJ10" s="66">
        <f t="shared" si="21"/>
        <v>6.0624887869680437</v>
      </c>
      <c r="BK10" s="66">
        <v>12.5</v>
      </c>
    </row>
    <row r="11" spans="2:63" ht="15.75" thickBot="1" x14ac:dyDescent="0.3">
      <c r="B11" s="53">
        <f t="shared" si="33"/>
        <v>145</v>
      </c>
      <c r="C11" s="66">
        <f t="shared" si="22"/>
        <v>0.11021362089466562</v>
      </c>
      <c r="D11" s="66">
        <f t="shared" si="23"/>
        <v>5.5106810447332809E-2</v>
      </c>
      <c r="E11" s="66">
        <f t="shared" si="0"/>
        <v>0.31</v>
      </c>
      <c r="G11" s="64">
        <f t="shared" si="1"/>
        <v>0</v>
      </c>
      <c r="H11" s="69">
        <f t="shared" si="27"/>
        <v>280</v>
      </c>
      <c r="I11" s="65">
        <f t="shared" si="2"/>
        <v>3.3999999999999995</v>
      </c>
      <c r="J11" s="65">
        <f t="shared" si="28"/>
        <v>3.3999999999999995</v>
      </c>
      <c r="K11" s="65">
        <f t="shared" si="3"/>
        <v>0</v>
      </c>
      <c r="L11" s="65">
        <f t="shared" si="4"/>
        <v>238.68114481371839</v>
      </c>
      <c r="M11" s="66">
        <f t="shared" si="5"/>
        <v>30</v>
      </c>
      <c r="O11" s="61">
        <f t="shared" si="29"/>
        <v>40</v>
      </c>
      <c r="P11" s="66">
        <f t="shared" si="6"/>
        <v>40</v>
      </c>
      <c r="Q11" s="65">
        <f t="shared" si="7"/>
        <v>15.909645938784456</v>
      </c>
      <c r="R11" s="62">
        <f t="shared" si="30"/>
        <v>40</v>
      </c>
      <c r="S11" s="62">
        <f t="shared" si="8"/>
        <v>0</v>
      </c>
      <c r="T11" s="62">
        <f t="shared" si="9"/>
        <v>0</v>
      </c>
      <c r="U11" s="66">
        <f t="shared" si="10"/>
        <v>0</v>
      </c>
      <c r="V11" s="66">
        <f t="shared" si="11"/>
        <v>22.863106131380203</v>
      </c>
      <c r="X11" s="75">
        <f t="shared" si="34"/>
        <v>145</v>
      </c>
      <c r="Y11" s="62">
        <f t="shared" si="31"/>
        <v>0.93006587919702355</v>
      </c>
      <c r="Z11" s="66">
        <f t="shared" si="32"/>
        <v>102.45743897340938</v>
      </c>
      <c r="AA11" s="66">
        <f t="shared" si="24"/>
        <v>13.500000000000002</v>
      </c>
      <c r="AR11" s="62">
        <v>7</v>
      </c>
      <c r="AS11" s="62">
        <f t="shared" si="12"/>
        <v>13.580559550221675</v>
      </c>
      <c r="AT11" s="62">
        <f t="shared" si="13"/>
        <v>-3.2711941937362874</v>
      </c>
      <c r="AU11" s="66">
        <f t="shared" si="14"/>
        <v>53.615559550221676</v>
      </c>
      <c r="AV11" s="62">
        <f t="shared" si="15"/>
        <v>111.02131648579771</v>
      </c>
      <c r="AW11" s="62">
        <f t="shared" si="16"/>
        <v>-32.624312703481571</v>
      </c>
      <c r="AX11" s="66">
        <f t="shared" si="26"/>
        <v>111.02131648579771</v>
      </c>
      <c r="AY11" s="62">
        <f t="shared" si="17"/>
        <v>92.628</v>
      </c>
      <c r="AZ11" s="66">
        <f t="shared" si="18"/>
        <v>44.484469105372717</v>
      </c>
      <c r="BG11" s="66">
        <v>7</v>
      </c>
      <c r="BH11" s="66">
        <f t="shared" si="19"/>
        <v>56.15754466632049</v>
      </c>
      <c r="BI11" s="66">
        <f t="shared" si="20"/>
        <v>23.312969893910342</v>
      </c>
      <c r="BJ11" s="66">
        <f t="shared" si="21"/>
        <v>11.231508933264099</v>
      </c>
      <c r="BK11" s="66">
        <v>12.5</v>
      </c>
    </row>
    <row r="12" spans="2:63" ht="15.75" thickBot="1" x14ac:dyDescent="0.3">
      <c r="B12" s="53">
        <f t="shared" si="33"/>
        <v>155</v>
      </c>
      <c r="C12" s="66">
        <f t="shared" si="22"/>
        <v>9.0228592527944684E-2</v>
      </c>
      <c r="D12" s="66">
        <f t="shared" si="23"/>
        <v>4.5114296263972342E-2</v>
      </c>
      <c r="E12" s="66">
        <f t="shared" si="0"/>
        <v>0.31</v>
      </c>
      <c r="G12" s="64">
        <f t="shared" si="1"/>
        <v>0</v>
      </c>
      <c r="H12" s="69">
        <f t="shared" si="27"/>
        <v>310</v>
      </c>
      <c r="I12" s="65">
        <f t="shared" si="2"/>
        <v>3.7999999999999994</v>
      </c>
      <c r="J12" s="65">
        <f t="shared" si="28"/>
        <v>3.7999999999999994</v>
      </c>
      <c r="K12" s="65">
        <f t="shared" si="3"/>
        <v>0</v>
      </c>
      <c r="L12" s="65">
        <f t="shared" si="4"/>
        <v>191.07714917220119</v>
      </c>
      <c r="M12" s="66">
        <f t="shared" si="5"/>
        <v>30</v>
      </c>
      <c r="O12" s="61">
        <f t="shared" si="29"/>
        <v>45</v>
      </c>
      <c r="P12" s="66">
        <f t="shared" si="6"/>
        <v>45</v>
      </c>
      <c r="Q12" s="65">
        <f t="shared" si="7"/>
        <v>17.898351681132514</v>
      </c>
      <c r="R12" s="62">
        <f t="shared" si="30"/>
        <v>45</v>
      </c>
      <c r="S12" s="62">
        <f t="shared" si="8"/>
        <v>0</v>
      </c>
      <c r="T12" s="62">
        <f t="shared" si="9"/>
        <v>0</v>
      </c>
      <c r="U12" s="66">
        <f t="shared" si="10"/>
        <v>0</v>
      </c>
      <c r="V12" s="66">
        <f t="shared" si="11"/>
        <v>22.863106131380203</v>
      </c>
      <c r="X12" s="75">
        <f t="shared" si="34"/>
        <v>155</v>
      </c>
      <c r="Y12" s="62">
        <f t="shared" si="31"/>
        <v>0.90857243127098575</v>
      </c>
      <c r="Z12" s="66">
        <f t="shared" si="32"/>
        <v>93.632289540223539</v>
      </c>
      <c r="AA12" s="66">
        <f t="shared" si="24"/>
        <v>13.500000000000002</v>
      </c>
    </row>
    <row r="13" spans="2:63" ht="15.75" thickBot="1" x14ac:dyDescent="0.3">
      <c r="B13" s="53">
        <f t="shared" si="33"/>
        <v>165</v>
      </c>
      <c r="C13" s="66">
        <f t="shared" si="22"/>
        <v>7.4797562400868198E-2</v>
      </c>
      <c r="D13" s="66">
        <f t="shared" si="23"/>
        <v>3.7398781200434099E-2</v>
      </c>
      <c r="E13" s="66">
        <f t="shared" si="0"/>
        <v>0.31</v>
      </c>
      <c r="G13" s="64">
        <f t="shared" si="1"/>
        <v>0</v>
      </c>
      <c r="H13" s="69">
        <f t="shared" si="27"/>
        <v>340</v>
      </c>
      <c r="I13" s="65">
        <f t="shared" si="2"/>
        <v>4.1999999999999993</v>
      </c>
      <c r="J13" s="65">
        <f t="shared" si="28"/>
        <v>4.1999999999999993</v>
      </c>
      <c r="K13" s="65">
        <f t="shared" si="3"/>
        <v>0</v>
      </c>
      <c r="L13" s="65">
        <f t="shared" si="4"/>
        <v>156.41462778041867</v>
      </c>
      <c r="M13" s="66">
        <f t="shared" si="5"/>
        <v>30</v>
      </c>
      <c r="O13" s="61">
        <f t="shared" si="29"/>
        <v>50</v>
      </c>
      <c r="P13" s="66">
        <f t="shared" si="6"/>
        <v>50</v>
      </c>
      <c r="Q13" s="65">
        <f t="shared" si="7"/>
        <v>19.88705742348057</v>
      </c>
      <c r="R13" s="62">
        <f t="shared" si="30"/>
        <v>50</v>
      </c>
      <c r="S13" s="62">
        <f t="shared" si="8"/>
        <v>0</v>
      </c>
      <c r="T13" s="62">
        <f t="shared" si="9"/>
        <v>0</v>
      </c>
      <c r="U13" s="66">
        <f t="shared" si="10"/>
        <v>0</v>
      </c>
      <c r="V13" s="66">
        <f t="shared" si="11"/>
        <v>22.863106131380203</v>
      </c>
      <c r="X13" s="75">
        <f t="shared" si="34"/>
        <v>165</v>
      </c>
      <c r="Y13" s="62">
        <f t="shared" si="31"/>
        <v>0.88884614508455073</v>
      </c>
      <c r="Z13" s="66">
        <f t="shared" si="32"/>
        <v>86.047931605430279</v>
      </c>
      <c r="AA13" s="66">
        <f t="shared" si="24"/>
        <v>13.500000000000002</v>
      </c>
    </row>
    <row r="14" spans="2:63" ht="15.75" thickBot="1" x14ac:dyDescent="0.3">
      <c r="B14" s="53">
        <f t="shared" si="33"/>
        <v>175</v>
      </c>
      <c r="C14" s="66">
        <f t="shared" si="22"/>
        <v>6.2693877551020405E-2</v>
      </c>
      <c r="D14" s="66">
        <f t="shared" si="23"/>
        <v>3.1346938775510202E-2</v>
      </c>
      <c r="E14" s="66">
        <f t="shared" si="0"/>
        <v>0.31</v>
      </c>
      <c r="G14" s="64">
        <f t="shared" si="1"/>
        <v>0</v>
      </c>
      <c r="H14" s="69">
        <f t="shared" si="27"/>
        <v>370</v>
      </c>
      <c r="I14" s="65">
        <f t="shared" si="2"/>
        <v>4.5999999999999996</v>
      </c>
      <c r="J14" s="65">
        <f t="shared" si="28"/>
        <v>4.5999999999999996</v>
      </c>
      <c r="K14" s="65">
        <f t="shared" si="3"/>
        <v>0</v>
      </c>
      <c r="L14" s="65">
        <f t="shared" si="4"/>
        <v>130.39480312129416</v>
      </c>
      <c r="M14" s="66">
        <f t="shared" si="5"/>
        <v>30</v>
      </c>
      <c r="O14" s="61">
        <f t="shared" si="29"/>
        <v>55</v>
      </c>
      <c r="P14" s="66">
        <f t="shared" si="6"/>
        <v>55</v>
      </c>
      <c r="Q14" s="65">
        <f t="shared" si="7"/>
        <v>21.875763165828626</v>
      </c>
      <c r="R14" s="62">
        <f t="shared" si="30"/>
        <v>55</v>
      </c>
      <c r="S14" s="62">
        <f t="shared" si="8"/>
        <v>0</v>
      </c>
      <c r="T14" s="62">
        <f t="shared" si="9"/>
        <v>0</v>
      </c>
      <c r="U14" s="66">
        <f t="shared" si="10"/>
        <v>0</v>
      </c>
      <c r="V14" s="66">
        <f t="shared" si="11"/>
        <v>22.863106131380203</v>
      </c>
      <c r="X14" s="75">
        <f t="shared" si="34"/>
        <v>175</v>
      </c>
      <c r="Y14" s="62">
        <f t="shared" si="31"/>
        <v>0.87065742226743226</v>
      </c>
      <c r="Z14" s="66">
        <f t="shared" si="32"/>
        <v>79.470701082750566</v>
      </c>
      <c r="AA14" s="66">
        <f t="shared" si="24"/>
        <v>13.500000000000002</v>
      </c>
    </row>
    <row r="15" spans="2:63" ht="15.75" thickBot="1" x14ac:dyDescent="0.3">
      <c r="B15" s="53">
        <f t="shared" si="33"/>
        <v>185</v>
      </c>
      <c r="C15" s="66">
        <f t="shared" si="22"/>
        <v>5.3066945689297776E-2</v>
      </c>
      <c r="D15" s="66">
        <f t="shared" si="23"/>
        <v>2.6533472844648888E-2</v>
      </c>
      <c r="E15" s="66">
        <f t="shared" si="0"/>
        <v>0.31</v>
      </c>
      <c r="G15" s="64">
        <f t="shared" si="1"/>
        <v>0</v>
      </c>
      <c r="H15" s="69">
        <f t="shared" si="27"/>
        <v>400</v>
      </c>
      <c r="I15" s="65">
        <f t="shared" si="2"/>
        <v>5</v>
      </c>
      <c r="J15" s="65">
        <f t="shared" si="28"/>
        <v>5</v>
      </c>
      <c r="K15" s="65">
        <f t="shared" si="3"/>
        <v>0</v>
      </c>
      <c r="L15" s="65">
        <f t="shared" si="4"/>
        <v>110.36616136186338</v>
      </c>
      <c r="M15" s="66">
        <f t="shared" si="5"/>
        <v>30</v>
      </c>
      <c r="O15" s="61">
        <f t="shared" si="29"/>
        <v>60</v>
      </c>
      <c r="P15" s="66">
        <f t="shared" si="6"/>
        <v>60</v>
      </c>
      <c r="Q15" s="65">
        <f t="shared" si="7"/>
        <v>23.864468908176683</v>
      </c>
      <c r="R15" s="62">
        <f t="shared" si="30"/>
        <v>60</v>
      </c>
      <c r="S15" s="62">
        <f t="shared" si="8"/>
        <v>0</v>
      </c>
      <c r="T15" s="62">
        <f t="shared" si="9"/>
        <v>0</v>
      </c>
      <c r="U15" s="66">
        <f t="shared" si="10"/>
        <v>0</v>
      </c>
      <c r="V15" s="66">
        <f t="shared" si="11"/>
        <v>22.863106131380203</v>
      </c>
      <c r="X15" s="75">
        <f t="shared" si="34"/>
        <v>185</v>
      </c>
      <c r="Y15" s="62">
        <f t="shared" si="31"/>
        <v>0.85381636806230388</v>
      </c>
      <c r="Z15" s="66">
        <f t="shared" si="32"/>
        <v>73.720883971064495</v>
      </c>
      <c r="AA15" s="66">
        <f t="shared" si="24"/>
        <v>13.500000000000002</v>
      </c>
    </row>
    <row r="16" spans="2:63" ht="15.75" thickBot="1" x14ac:dyDescent="0.3">
      <c r="B16" s="53">
        <f t="shared" si="33"/>
        <v>195</v>
      </c>
      <c r="C16" s="66">
        <f t="shared" si="22"/>
        <v>4.5314317503666622E-2</v>
      </c>
      <c r="D16" s="66">
        <f t="shared" si="23"/>
        <v>2.2657158751833311E-2</v>
      </c>
      <c r="E16" s="66">
        <f t="shared" si="0"/>
        <v>0.31</v>
      </c>
      <c r="G16" s="64">
        <f t="shared" si="1"/>
        <v>0</v>
      </c>
      <c r="H16" s="69">
        <f t="shared" si="27"/>
        <v>430</v>
      </c>
      <c r="I16" s="65">
        <f t="shared" si="2"/>
        <v>5.4</v>
      </c>
      <c r="J16" s="65">
        <f t="shared" si="28"/>
        <v>5.4</v>
      </c>
      <c r="K16" s="65">
        <f t="shared" si="3"/>
        <v>0</v>
      </c>
      <c r="L16" s="65">
        <f t="shared" si="4"/>
        <v>94.62119458321618</v>
      </c>
      <c r="M16" s="66">
        <f t="shared" si="5"/>
        <v>30</v>
      </c>
      <c r="O16" s="61">
        <f t="shared" si="29"/>
        <v>65</v>
      </c>
      <c r="P16" s="66">
        <f t="shared" si="6"/>
        <v>65</v>
      </c>
      <c r="Q16" s="65">
        <f t="shared" si="7"/>
        <v>25.853174650524743</v>
      </c>
      <c r="R16" s="62">
        <f t="shared" si="30"/>
        <v>65</v>
      </c>
      <c r="S16" s="62">
        <f t="shared" si="8"/>
        <v>0</v>
      </c>
      <c r="T16" s="62">
        <f t="shared" si="9"/>
        <v>0</v>
      </c>
      <c r="U16" s="66">
        <f t="shared" si="10"/>
        <v>0</v>
      </c>
      <c r="V16" s="66">
        <f t="shared" si="11"/>
        <v>22.863106131380203</v>
      </c>
      <c r="X16" s="75">
        <f t="shared" si="34"/>
        <v>195</v>
      </c>
      <c r="Y16" s="62">
        <f t="shared" si="31"/>
        <v>0.83816437870057992</v>
      </c>
      <c r="Z16" s="66">
        <f t="shared" si="32"/>
        <v>68.658193879542708</v>
      </c>
      <c r="AA16" s="66">
        <f t="shared" si="24"/>
        <v>13.500000000000002</v>
      </c>
    </row>
    <row r="17" spans="2:27" ht="15.75" thickBot="1" x14ac:dyDescent="0.3">
      <c r="B17" s="53">
        <f t="shared" si="33"/>
        <v>205</v>
      </c>
      <c r="C17" s="66">
        <f t="shared" si="22"/>
        <v>3.900117525862945E-2</v>
      </c>
      <c r="D17" s="66">
        <f t="shared" si="23"/>
        <v>1.9500587629314725E-2</v>
      </c>
      <c r="E17" s="66">
        <f t="shared" si="0"/>
        <v>0.31</v>
      </c>
      <c r="G17" s="64">
        <f t="shared" si="1"/>
        <v>0</v>
      </c>
      <c r="H17" s="69">
        <f t="shared" si="27"/>
        <v>460</v>
      </c>
      <c r="I17" s="65">
        <f t="shared" si="2"/>
        <v>5.8000000000000007</v>
      </c>
      <c r="J17" s="65">
        <f t="shared" si="28"/>
        <v>5.8000000000000007</v>
      </c>
      <c r="K17" s="65">
        <f t="shared" si="3"/>
        <v>0</v>
      </c>
      <c r="L17" s="65">
        <f t="shared" si="4"/>
        <v>82.020036683905573</v>
      </c>
      <c r="M17" s="66">
        <f t="shared" si="5"/>
        <v>30</v>
      </c>
      <c r="O17" s="61">
        <f t="shared" si="29"/>
        <v>70</v>
      </c>
      <c r="P17" s="66">
        <f t="shared" si="6"/>
        <v>70</v>
      </c>
      <c r="Q17" s="65">
        <f t="shared" si="7"/>
        <v>27.841880392872799</v>
      </c>
      <c r="R17" s="62">
        <f t="shared" si="30"/>
        <v>70</v>
      </c>
      <c r="S17" s="62">
        <f t="shared" si="8"/>
        <v>0</v>
      </c>
      <c r="T17" s="62">
        <f t="shared" si="9"/>
        <v>0</v>
      </c>
      <c r="U17" s="66">
        <f t="shared" si="10"/>
        <v>0</v>
      </c>
      <c r="V17" s="66">
        <f t="shared" si="11"/>
        <v>22.863106131380203</v>
      </c>
      <c r="X17" s="75">
        <f t="shared" si="34"/>
        <v>205</v>
      </c>
      <c r="Y17" s="62">
        <f t="shared" si="31"/>
        <v>0.82356780961148823</v>
      </c>
      <c r="Z17" s="66">
        <f t="shared" si="32"/>
        <v>64.171662169884044</v>
      </c>
      <c r="AA17" s="66">
        <f t="shared" si="24"/>
        <v>13.500000000000002</v>
      </c>
    </row>
    <row r="18" spans="2:27" ht="15.75" thickBot="1" x14ac:dyDescent="0.3">
      <c r="B18" s="53">
        <f t="shared" si="33"/>
        <v>215</v>
      </c>
      <c r="C18" s="66">
        <f t="shared" si="22"/>
        <v>3.3808343919403322E-2</v>
      </c>
      <c r="D18" s="66">
        <f t="shared" si="23"/>
        <v>1.6904171959701661E-2</v>
      </c>
      <c r="E18" s="66">
        <f t="shared" si="0"/>
        <v>0.31</v>
      </c>
      <c r="G18" s="64">
        <f t="shared" si="1"/>
        <v>0</v>
      </c>
      <c r="H18" s="69">
        <f t="shared" si="27"/>
        <v>490</v>
      </c>
      <c r="I18" s="65">
        <f t="shared" si="2"/>
        <v>6.2000000000000011</v>
      </c>
      <c r="J18" s="65">
        <f t="shared" si="28"/>
        <v>6.2000000000000011</v>
      </c>
      <c r="K18" s="65">
        <f t="shared" si="3"/>
        <v>0</v>
      </c>
      <c r="L18" s="65">
        <f t="shared" si="4"/>
        <v>71.778200677590618</v>
      </c>
      <c r="M18" s="66">
        <f t="shared" si="5"/>
        <v>30</v>
      </c>
      <c r="O18" s="61">
        <f t="shared" si="29"/>
        <v>75</v>
      </c>
      <c r="P18" s="66">
        <f t="shared" si="6"/>
        <v>75</v>
      </c>
      <c r="Q18" s="65">
        <f t="shared" si="7"/>
        <v>29.830586135220855</v>
      </c>
      <c r="R18" s="62">
        <f t="shared" si="30"/>
        <v>75</v>
      </c>
      <c r="S18" s="62">
        <f t="shared" si="8"/>
        <v>0</v>
      </c>
      <c r="T18" s="62">
        <f t="shared" si="9"/>
        <v>0</v>
      </c>
      <c r="U18" s="66">
        <f t="shared" si="10"/>
        <v>0</v>
      </c>
      <c r="V18" s="66">
        <f t="shared" si="11"/>
        <v>22.863106131380203</v>
      </c>
      <c r="X18" s="75">
        <f t="shared" si="34"/>
        <v>215</v>
      </c>
      <c r="Y18" s="62">
        <f t="shared" si="31"/>
        <v>0.80991314233128264</v>
      </c>
      <c r="Z18" s="66">
        <f t="shared" si="32"/>
        <v>60.172460800067519</v>
      </c>
      <c r="AA18" s="66">
        <f t="shared" si="24"/>
        <v>13.500000000000002</v>
      </c>
    </row>
    <row r="19" spans="2:27" ht="15.75" thickBot="1" x14ac:dyDescent="0.3">
      <c r="B19" s="53">
        <f t="shared" si="33"/>
        <v>225</v>
      </c>
      <c r="C19" s="66">
        <f t="shared" si="22"/>
        <v>2.9497942386831278E-2</v>
      </c>
      <c r="D19" s="66">
        <f t="shared" si="23"/>
        <v>1.4748971193415639E-2</v>
      </c>
      <c r="E19" s="66">
        <f t="shared" si="0"/>
        <v>0.31</v>
      </c>
      <c r="G19" s="64">
        <f t="shared" si="1"/>
        <v>0</v>
      </c>
      <c r="H19" s="69">
        <f t="shared" si="27"/>
        <v>520</v>
      </c>
      <c r="I19" s="65">
        <f t="shared" si="2"/>
        <v>6.6000000000000014</v>
      </c>
      <c r="J19" s="65">
        <f t="shared" si="28"/>
        <v>6.6000000000000014</v>
      </c>
      <c r="K19" s="65">
        <f t="shared" si="3"/>
        <v>0</v>
      </c>
      <c r="L19" s="65">
        <f t="shared" si="4"/>
        <v>63.341460836698431</v>
      </c>
      <c r="M19" s="66">
        <f t="shared" si="5"/>
        <v>30</v>
      </c>
      <c r="O19" s="61">
        <f t="shared" si="29"/>
        <v>80</v>
      </c>
      <c r="P19" s="66">
        <f t="shared" si="6"/>
        <v>80</v>
      </c>
      <c r="Q19" s="65">
        <f t="shared" si="7"/>
        <v>31.819291877568912</v>
      </c>
      <c r="R19" s="62">
        <f t="shared" si="30"/>
        <v>80</v>
      </c>
      <c r="S19" s="62">
        <f t="shared" si="8"/>
        <v>0</v>
      </c>
      <c r="T19" s="62">
        <f t="shared" si="9"/>
        <v>0</v>
      </c>
      <c r="U19" s="66">
        <f t="shared" si="10"/>
        <v>0</v>
      </c>
      <c r="V19" s="66">
        <f t="shared" si="11"/>
        <v>22.863106131380203</v>
      </c>
      <c r="X19" s="75">
        <f t="shared" si="34"/>
        <v>225</v>
      </c>
      <c r="Y19" s="62">
        <f t="shared" si="31"/>
        <v>0.7971032481504351</v>
      </c>
      <c r="Z19" s="66">
        <f t="shared" si="32"/>
        <v>56.588716937109915</v>
      </c>
      <c r="AA19" s="66">
        <f t="shared" si="24"/>
        <v>13.500000000000002</v>
      </c>
    </row>
    <row r="20" spans="2:27" ht="15.75" thickBot="1" x14ac:dyDescent="0.3">
      <c r="B20" s="53">
        <f t="shared" si="33"/>
        <v>235</v>
      </c>
      <c r="C20" s="66">
        <f t="shared" si="22"/>
        <v>2.5890217003939394E-2</v>
      </c>
      <c r="D20" s="66">
        <f t="shared" si="23"/>
        <v>1.2945108501969697E-2</v>
      </c>
      <c r="E20" s="66">
        <f t="shared" si="0"/>
        <v>0.31</v>
      </c>
      <c r="G20" s="64">
        <f t="shared" si="1"/>
        <v>0</v>
      </c>
      <c r="H20" s="69">
        <f t="shared" si="27"/>
        <v>550</v>
      </c>
      <c r="I20" s="65">
        <f t="shared" si="2"/>
        <v>7.0000000000000018</v>
      </c>
      <c r="J20" s="65">
        <f t="shared" si="28"/>
        <v>7.0000000000000018</v>
      </c>
      <c r="K20" s="65">
        <f t="shared" si="3"/>
        <v>0</v>
      </c>
      <c r="L20" s="65">
        <f t="shared" si="4"/>
        <v>56.309266000950672</v>
      </c>
      <c r="M20" s="66">
        <f t="shared" si="5"/>
        <v>30</v>
      </c>
      <c r="O20" s="61">
        <f t="shared" si="29"/>
        <v>85</v>
      </c>
      <c r="P20" s="66">
        <f t="shared" si="6"/>
        <v>85</v>
      </c>
      <c r="Q20" s="65">
        <f t="shared" si="7"/>
        <v>33.807997619916968</v>
      </c>
      <c r="R20" s="62">
        <f t="shared" si="30"/>
        <v>85</v>
      </c>
      <c r="S20" s="62">
        <f t="shared" si="8"/>
        <v>0</v>
      </c>
      <c r="T20" s="62">
        <f t="shared" si="9"/>
        <v>0</v>
      </c>
      <c r="U20" s="66">
        <f t="shared" si="10"/>
        <v>0</v>
      </c>
      <c r="V20" s="66">
        <f t="shared" si="11"/>
        <v>22.863106131380203</v>
      </c>
      <c r="X20" s="75">
        <f t="shared" si="34"/>
        <v>235</v>
      </c>
      <c r="Y20" s="62">
        <f t="shared" si="31"/>
        <v>0.78505446601010365</v>
      </c>
      <c r="Z20" s="66">
        <f t="shared" si="32"/>
        <v>53.361706844616961</v>
      </c>
      <c r="AA20" s="66">
        <f t="shared" si="24"/>
        <v>13.500000000000002</v>
      </c>
    </row>
    <row r="21" spans="2:27" ht="15.75" thickBot="1" x14ac:dyDescent="0.3">
      <c r="B21" s="53">
        <f t="shared" si="33"/>
        <v>245</v>
      </c>
      <c r="C21" s="66">
        <f t="shared" si="22"/>
        <v>2.2847623014220275E-2</v>
      </c>
      <c r="D21" s="66">
        <f t="shared" si="23"/>
        <v>1.1423811507110138E-2</v>
      </c>
      <c r="E21" s="66">
        <f t="shared" si="0"/>
        <v>0.31</v>
      </c>
      <c r="G21" s="64">
        <f t="shared" si="1"/>
        <v>0</v>
      </c>
      <c r="H21" s="69">
        <f t="shared" si="27"/>
        <v>580</v>
      </c>
      <c r="I21" s="65">
        <f t="shared" si="2"/>
        <v>7.4000000000000021</v>
      </c>
      <c r="J21" s="65">
        <f t="shared" si="28"/>
        <v>7.4000000000000021</v>
      </c>
      <c r="K21" s="65">
        <f t="shared" si="3"/>
        <v>0</v>
      </c>
      <c r="L21" s="65">
        <f t="shared" si="4"/>
        <v>50.386304493180837</v>
      </c>
      <c r="M21" s="66">
        <f t="shared" si="5"/>
        <v>30</v>
      </c>
      <c r="O21" s="61">
        <f t="shared" si="29"/>
        <v>90</v>
      </c>
      <c r="P21" s="66">
        <f t="shared" si="6"/>
        <v>90</v>
      </c>
      <c r="Q21" s="65">
        <f t="shared" si="7"/>
        <v>35.796703362265028</v>
      </c>
      <c r="R21" s="62">
        <f t="shared" si="30"/>
        <v>90</v>
      </c>
      <c r="S21" s="62">
        <f t="shared" si="8"/>
        <v>0</v>
      </c>
      <c r="T21" s="62">
        <f t="shared" si="9"/>
        <v>0</v>
      </c>
      <c r="U21" s="66">
        <f t="shared" si="10"/>
        <v>0</v>
      </c>
      <c r="V21" s="66">
        <f t="shared" si="11"/>
        <v>22.863106131380203</v>
      </c>
      <c r="X21" s="75">
        <f t="shared" si="34"/>
        <v>245</v>
      </c>
      <c r="Y21" s="62">
        <f>0.1887+0.8113*(0.83/(0.1+0.005*(X21))^0.5)</f>
        <v>0.77369429291910563</v>
      </c>
      <c r="Z21" s="66">
        <f t="shared" si="32"/>
        <v>50.44302181438097</v>
      </c>
      <c r="AA21" s="66">
        <f t="shared" si="24"/>
        <v>13.500000000000002</v>
      </c>
    </row>
    <row r="22" spans="2:27" ht="15.75" thickBot="1" x14ac:dyDescent="0.3">
      <c r="B22" s="53">
        <f t="shared" si="33"/>
        <v>255</v>
      </c>
      <c r="C22" s="66">
        <f t="shared" si="22"/>
        <v>2.0263699482099645E-2</v>
      </c>
      <c r="D22" s="66">
        <f t="shared" si="23"/>
        <v>1.0131849741049822E-2</v>
      </c>
      <c r="E22" s="66">
        <f t="shared" si="0"/>
        <v>0.31</v>
      </c>
      <c r="G22" s="64">
        <f t="shared" si="1"/>
        <v>0</v>
      </c>
      <c r="H22" s="69">
        <f t="shared" si="27"/>
        <v>610</v>
      </c>
      <c r="I22" s="65">
        <f t="shared" si="2"/>
        <v>7.8000000000000025</v>
      </c>
      <c r="J22" s="65">
        <f t="shared" si="28"/>
        <v>7.8000000000000025</v>
      </c>
      <c r="K22" s="65">
        <f t="shared" si="3"/>
        <v>0</v>
      </c>
      <c r="L22" s="65">
        <f t="shared" si="4"/>
        <v>45.350986752902408</v>
      </c>
      <c r="M22" s="66">
        <f t="shared" si="5"/>
        <v>30</v>
      </c>
      <c r="O22" s="61">
        <f t="shared" si="29"/>
        <v>95</v>
      </c>
      <c r="P22" s="66">
        <f t="shared" si="6"/>
        <v>95</v>
      </c>
      <c r="Q22" s="65">
        <f t="shared" si="7"/>
        <v>37.78540910461308</v>
      </c>
      <c r="R22" s="62">
        <f t="shared" si="30"/>
        <v>95</v>
      </c>
      <c r="S22" s="62">
        <f t="shared" si="8"/>
        <v>0</v>
      </c>
      <c r="T22" s="62">
        <f t="shared" si="9"/>
        <v>0</v>
      </c>
      <c r="U22" s="66">
        <f t="shared" si="10"/>
        <v>0</v>
      </c>
      <c r="V22" s="66">
        <f t="shared" si="11"/>
        <v>22.863106131380203</v>
      </c>
      <c r="X22" s="75">
        <f t="shared" si="34"/>
        <v>255</v>
      </c>
      <c r="Y22" s="62">
        <f t="shared" si="31"/>
        <v>0.76295954071529837</v>
      </c>
      <c r="Z22" s="66">
        <f t="shared" si="32"/>
        <v>47.792430149810244</v>
      </c>
      <c r="AA22" s="66">
        <f t="shared" si="24"/>
        <v>13.500000000000002</v>
      </c>
    </row>
    <row r="23" spans="2:27" ht="15.75" thickBot="1" x14ac:dyDescent="0.3">
      <c r="B23" s="53">
        <f t="shared" si="33"/>
        <v>265</v>
      </c>
      <c r="C23" s="66">
        <f t="shared" si="22"/>
        <v>1.805517306232662E-2</v>
      </c>
      <c r="D23" s="66">
        <f t="shared" si="23"/>
        <v>9.0275865311633102E-3</v>
      </c>
      <c r="E23" s="66">
        <f t="shared" si="0"/>
        <v>0.31</v>
      </c>
      <c r="G23" s="64">
        <f t="shared" si="1"/>
        <v>0</v>
      </c>
      <c r="H23" s="69">
        <f t="shared" si="27"/>
        <v>640</v>
      </c>
      <c r="I23" s="65">
        <f t="shared" si="2"/>
        <v>8.2000000000000028</v>
      </c>
      <c r="J23" s="65">
        <f t="shared" si="28"/>
        <v>8.2000000000000028</v>
      </c>
      <c r="K23" s="65">
        <f t="shared" si="3"/>
        <v>0</v>
      </c>
      <c r="L23" s="65">
        <f t="shared" si="4"/>
        <v>41.034414545606516</v>
      </c>
      <c r="M23" s="66">
        <f t="shared" si="5"/>
        <v>30</v>
      </c>
      <c r="O23" s="61">
        <f t="shared" si="29"/>
        <v>100</v>
      </c>
      <c r="P23" s="66">
        <f t="shared" si="6"/>
        <v>100</v>
      </c>
      <c r="Q23" s="65">
        <f t="shared" si="7"/>
        <v>39.77411484696114</v>
      </c>
      <c r="R23" s="62">
        <f t="shared" si="30"/>
        <v>100</v>
      </c>
      <c r="S23" s="62">
        <f t="shared" si="8"/>
        <v>0</v>
      </c>
      <c r="T23" s="62">
        <f t="shared" si="9"/>
        <v>0</v>
      </c>
      <c r="U23" s="66">
        <f t="shared" si="10"/>
        <v>0</v>
      </c>
      <c r="V23" s="66">
        <f t="shared" si="11"/>
        <v>22.863106131380203</v>
      </c>
      <c r="X23" s="75">
        <f t="shared" si="34"/>
        <v>265</v>
      </c>
      <c r="Y23" s="62">
        <f t="shared" si="31"/>
        <v>0.75279485182310724</v>
      </c>
      <c r="Z23" s="66">
        <f t="shared" si="32"/>
        <v>45.376244867806868</v>
      </c>
      <c r="AA23" s="66">
        <f t="shared" si="24"/>
        <v>13.500000000000002</v>
      </c>
    </row>
    <row r="24" spans="2:27" ht="15.75" thickBot="1" x14ac:dyDescent="0.3">
      <c r="B24" s="53">
        <f t="shared" si="33"/>
        <v>275</v>
      </c>
      <c r="C24" s="66">
        <f t="shared" si="22"/>
        <v>1.6156273478587526E-2</v>
      </c>
      <c r="D24" s="66">
        <f t="shared" si="23"/>
        <v>8.078136739293763E-3</v>
      </c>
      <c r="E24" s="66">
        <f t="shared" si="0"/>
        <v>0.31</v>
      </c>
      <c r="G24" s="64">
        <f t="shared" si="1"/>
        <v>0</v>
      </c>
      <c r="H24" s="69">
        <f t="shared" si="27"/>
        <v>670</v>
      </c>
      <c r="I24" s="65">
        <f t="shared" si="2"/>
        <v>8.6000000000000032</v>
      </c>
      <c r="J24" s="65">
        <f t="shared" si="28"/>
        <v>8.6000000000000032</v>
      </c>
      <c r="K24" s="65">
        <f t="shared" si="3"/>
        <v>0</v>
      </c>
      <c r="L24" s="65">
        <f t="shared" si="4"/>
        <v>37.306030746979218</v>
      </c>
      <c r="M24" s="66">
        <f t="shared" si="5"/>
        <v>30</v>
      </c>
      <c r="O24" s="61">
        <f t="shared" si="29"/>
        <v>105</v>
      </c>
      <c r="P24" s="66">
        <f t="shared" si="6"/>
        <v>105</v>
      </c>
      <c r="Q24" s="65">
        <f t="shared" si="7"/>
        <v>41.7628205893092</v>
      </c>
      <c r="R24" s="62">
        <f t="shared" si="30"/>
        <v>105</v>
      </c>
      <c r="S24" s="62">
        <f t="shared" si="8"/>
        <v>0</v>
      </c>
      <c r="T24" s="62">
        <f t="shared" si="9"/>
        <v>0</v>
      </c>
      <c r="U24" s="66">
        <f t="shared" si="10"/>
        <v>0</v>
      </c>
      <c r="V24" s="66">
        <f t="shared" si="11"/>
        <v>22.863106131380203</v>
      </c>
      <c r="X24" s="75">
        <f t="shared" si="34"/>
        <v>275</v>
      </c>
      <c r="Y24" s="62">
        <f t="shared" si="31"/>
        <v>0.74315149419730764</v>
      </c>
      <c r="Z24" s="66">
        <f t="shared" si="32"/>
        <v>43.166063754991278</v>
      </c>
      <c r="AA24" s="66">
        <f t="shared" si="24"/>
        <v>13.500000000000002</v>
      </c>
    </row>
    <row r="25" spans="2:27" ht="15.75" thickBot="1" x14ac:dyDescent="0.3">
      <c r="B25" s="53">
        <f t="shared" si="33"/>
        <v>285</v>
      </c>
      <c r="C25" s="66">
        <f t="shared" si="22"/>
        <v>1.4514587484408158E-2</v>
      </c>
      <c r="D25" s="66">
        <f t="shared" si="23"/>
        <v>7.2572937422040792E-3</v>
      </c>
      <c r="E25" s="66">
        <f t="shared" si="0"/>
        <v>0.31</v>
      </c>
      <c r="G25" s="64">
        <f t="shared" si="1"/>
        <v>0</v>
      </c>
      <c r="H25" s="69">
        <f t="shared" si="27"/>
        <v>700</v>
      </c>
      <c r="I25" s="65">
        <f t="shared" si="2"/>
        <v>9.0000000000000036</v>
      </c>
      <c r="J25" s="65">
        <f t="shared" si="28"/>
        <v>9.0000000000000036</v>
      </c>
      <c r="K25" s="65">
        <f t="shared" si="3"/>
        <v>0</v>
      </c>
      <c r="L25" s="65">
        <f t="shared" si="4"/>
        <v>34.063630049957808</v>
      </c>
      <c r="M25" s="66">
        <f t="shared" si="5"/>
        <v>30</v>
      </c>
      <c r="O25" s="61">
        <f t="shared" si="29"/>
        <v>110</v>
      </c>
      <c r="P25" s="66">
        <f t="shared" si="6"/>
        <v>110</v>
      </c>
      <c r="Q25" s="65">
        <f t="shared" si="7"/>
        <v>43.751526331657253</v>
      </c>
      <c r="R25" s="62">
        <f t="shared" si="30"/>
        <v>110</v>
      </c>
      <c r="S25" s="62">
        <f t="shared" si="8"/>
        <v>0</v>
      </c>
      <c r="T25" s="62">
        <f t="shared" si="9"/>
        <v>0</v>
      </c>
      <c r="U25" s="66">
        <f t="shared" si="10"/>
        <v>0</v>
      </c>
      <c r="V25" s="66">
        <f t="shared" si="11"/>
        <v>22.863106131380203</v>
      </c>
      <c r="X25" s="75">
        <f t="shared" si="34"/>
        <v>285</v>
      </c>
      <c r="Y25" s="62">
        <f t="shared" si="31"/>
        <v>0.73398637543954826</v>
      </c>
      <c r="Z25" s="66">
        <f t="shared" si="32"/>
        <v>41.137786959238198</v>
      </c>
      <c r="AA25" s="66">
        <f t="shared" si="24"/>
        <v>13.500000000000002</v>
      </c>
    </row>
    <row r="26" spans="2:27" ht="15.75" thickBot="1" x14ac:dyDescent="0.3">
      <c r="B26" s="54">
        <f t="shared" si="33"/>
        <v>295</v>
      </c>
      <c r="C26" s="66">
        <f t="shared" si="22"/>
        <v>1.308799828609546E-2</v>
      </c>
      <c r="D26" s="66">
        <f t="shared" si="23"/>
        <v>6.5439991430477299E-3</v>
      </c>
      <c r="E26" s="66">
        <f t="shared" si="0"/>
        <v>0.31</v>
      </c>
      <c r="G26" s="64">
        <f t="shared" si="1"/>
        <v>0</v>
      </c>
      <c r="H26" s="69">
        <f t="shared" si="27"/>
        <v>730</v>
      </c>
      <c r="I26" s="65">
        <f t="shared" si="2"/>
        <v>9.4000000000000039</v>
      </c>
      <c r="J26" s="65">
        <f t="shared" si="28"/>
        <v>9.4000000000000039</v>
      </c>
      <c r="K26" s="67">
        <f t="shared" si="3"/>
        <v>0</v>
      </c>
      <c r="L26" s="67">
        <f t="shared" si="4"/>
        <v>31.226279244528993</v>
      </c>
      <c r="M26" s="66">
        <f t="shared" si="5"/>
        <v>30</v>
      </c>
      <c r="O26" s="61">
        <f t="shared" si="29"/>
        <v>115</v>
      </c>
      <c r="P26" s="66">
        <f t="shared" si="6"/>
        <v>115</v>
      </c>
      <c r="Q26" s="65">
        <f t="shared" si="7"/>
        <v>45.740232074005313</v>
      </c>
      <c r="R26" s="71">
        <f t="shared" si="30"/>
        <v>115</v>
      </c>
      <c r="S26" s="71">
        <f t="shared" si="8"/>
        <v>0</v>
      </c>
      <c r="T26" s="71">
        <f t="shared" si="9"/>
        <v>0</v>
      </c>
      <c r="U26" s="66">
        <f t="shared" si="10"/>
        <v>0</v>
      </c>
      <c r="V26" s="66">
        <f t="shared" si="11"/>
        <v>22.863106131380203</v>
      </c>
      <c r="X26" s="76">
        <f t="shared" si="34"/>
        <v>295</v>
      </c>
      <c r="Y26" s="71">
        <f t="shared" si="31"/>
        <v>0.72526123048332303</v>
      </c>
      <c r="Z26" s="66">
        <f t="shared" si="32"/>
        <v>39.270843791344113</v>
      </c>
      <c r="AA26" s="66">
        <f t="shared" si="24"/>
        <v>13.500000000000002</v>
      </c>
    </row>
    <row r="27" spans="2:27" ht="15.75" thickTop="1" x14ac:dyDescent="0.25"/>
  </sheetData>
  <sheetProtection formatCells="0" formatColumns="0" formatRows="0" insertColumns="0" insertRows="0" insertHyperlinks="0" deleteColumns="0" deleteRows="0" sort="0" autoFilter="0" pivotTables="0"/>
  <mergeCells count="21">
    <mergeCell ref="AC3:AC4"/>
    <mergeCell ref="B3:E3"/>
    <mergeCell ref="G3:L3"/>
    <mergeCell ref="P3:V3"/>
    <mergeCell ref="X3:AA3"/>
    <mergeCell ref="AP3:AP4"/>
    <mergeCell ref="AI3:AK4"/>
    <mergeCell ref="AL3:AN4"/>
    <mergeCell ref="AO3:AO4"/>
    <mergeCell ref="AD3:AH3"/>
    <mergeCell ref="BH3:BK3"/>
    <mergeCell ref="BG3:BG4"/>
    <mergeCell ref="AR3:AR4"/>
    <mergeCell ref="BB3:BB4"/>
    <mergeCell ref="BD3:BD4"/>
    <mergeCell ref="BC3:BC4"/>
    <mergeCell ref="AS3:AU4"/>
    <mergeCell ref="AV3:AX4"/>
    <mergeCell ref="AY3:AY4"/>
    <mergeCell ref="AZ3:AZ4"/>
    <mergeCell ref="BE3:BE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60</vt:i4>
      </vt:variant>
    </vt:vector>
  </HeadingPairs>
  <TitlesOfParts>
    <vt:vector size="63" baseType="lpstr">
      <vt:lpstr>Calculation Sheet</vt:lpstr>
      <vt:lpstr>Formula</vt:lpstr>
      <vt:lpstr>Graph</vt:lpstr>
      <vt:lpstr>alfa</vt:lpstr>
      <vt:lpstr>Allowable_Euler_buckling_stress</vt:lpstr>
      <vt:lpstr>allowable_External_Pressure</vt:lpstr>
      <vt:lpstr>Allowable_local_hoop</vt:lpstr>
      <vt:lpstr>Allowable_Shear_Stress</vt:lpstr>
      <vt:lpstr>Allowable_shell_buckling_stress</vt:lpstr>
      <vt:lpstr>Alowable_local_axial</vt:lpstr>
      <vt:lpstr>Applied_External_Pressure</vt:lpstr>
      <vt:lpstr>Applied_Fa</vt:lpstr>
      <vt:lpstr>beta</vt:lpstr>
      <vt:lpstr>D</vt:lpstr>
      <vt:lpstr>deflection</vt:lpstr>
      <vt:lpstr>Di</vt:lpstr>
      <vt:lpstr>Do</vt:lpstr>
      <vt:lpstr>Ea</vt:lpstr>
      <vt:lpstr>Eh</vt:lpstr>
      <vt:lpstr>Euler_Buckling_stress</vt:lpstr>
      <vt:lpstr>Eulercheck</vt:lpstr>
      <vt:lpstr>Eulercheck2</vt:lpstr>
      <vt:lpstr>Fa_thermal</vt:lpstr>
      <vt:lpstr>famax</vt:lpstr>
      <vt:lpstr>Fe</vt:lpstr>
      <vt:lpstr>HDB</vt:lpstr>
      <vt:lpstr>Ip</vt:lpstr>
      <vt:lpstr>ks</vt:lpstr>
      <vt:lpstr>L</vt:lpstr>
      <vt:lpstr>Maximum_compressive_axial_stress</vt:lpstr>
      <vt:lpstr>Method_of_calculation_check</vt:lpstr>
      <vt:lpstr>Mi</vt:lpstr>
      <vt:lpstr>P</vt:lpstr>
      <vt:lpstr>Pd</vt:lpstr>
      <vt:lpstr>PipeCrossSection</vt:lpstr>
      <vt:lpstr>Poisson</vt:lpstr>
      <vt:lpstr>pq</vt:lpstr>
      <vt:lpstr>pqf</vt:lpstr>
      <vt:lpstr>rr</vt:lpstr>
      <vt:lpstr>sadk1</vt:lpstr>
      <vt:lpstr>sadk2</vt:lpstr>
      <vt:lpstr>sadk3</vt:lpstr>
      <vt:lpstr>sadk4</vt:lpstr>
      <vt:lpstr>sadk5</vt:lpstr>
      <vt:lpstr>selected_Fa</vt:lpstr>
      <vt:lpstr>Sh</vt:lpstr>
      <vt:lpstr>Shell_Buckling_stress</vt:lpstr>
      <vt:lpstr>Shoo_plocal_general</vt:lpstr>
      <vt:lpstr>Shoop</vt:lpstr>
      <vt:lpstr>Sqs</vt:lpstr>
      <vt:lpstr>SUPA</vt:lpstr>
      <vt:lpstr>SUPD</vt:lpstr>
      <vt:lpstr>SUPH</vt:lpstr>
      <vt:lpstr>SUPS</vt:lpstr>
      <vt:lpstr>t</vt:lpstr>
      <vt:lpstr>tao</vt:lpstr>
      <vt:lpstr>temperature</vt:lpstr>
      <vt:lpstr>tr</vt:lpstr>
      <vt:lpstr>widthsaddle</vt:lpstr>
      <vt:lpstr>ρ_c</vt:lpstr>
      <vt:lpstr>ρ_eff</vt:lpstr>
      <vt:lpstr>ρ_L</vt:lpstr>
      <vt:lpstr>ρ_o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2015-07-19T03:08:21Z</dcterms:modified>
</cp:coreProperties>
</file>